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emf" ContentType="image/x-emf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" windowWidth="11340" windowHeight="7305"/>
  </bookViews>
  <sheets>
    <sheet name="Tep_ztraty_Nocležna_III" sheetId="1" r:id="rId1"/>
    <sheet name="cenova_rozvaha" sheetId="2" r:id="rId2"/>
    <sheet name="grafy" sheetId="3" r:id="rId3"/>
  </sheets>
  <calcPr calcId="124519"/>
</workbook>
</file>

<file path=xl/calcChain.xml><?xml version="1.0" encoding="utf-8"?>
<calcChain xmlns="http://schemas.openxmlformats.org/spreadsheetml/2006/main">
  <c r="G69" i="2"/>
  <c r="G68"/>
  <c r="E122"/>
  <c r="E121"/>
  <c r="E120"/>
  <c r="E119"/>
  <c r="E114"/>
  <c r="E113"/>
  <c r="E112"/>
  <c r="E111"/>
  <c r="E105"/>
  <c r="E104"/>
  <c r="E103"/>
  <c r="E102"/>
  <c r="E97"/>
  <c r="E96"/>
  <c r="E95"/>
  <c r="E94"/>
  <c r="E77"/>
  <c r="E86"/>
  <c r="E87"/>
  <c r="E88"/>
  <c r="E85"/>
  <c r="E78"/>
  <c r="E79"/>
  <c r="E80"/>
  <c r="J56"/>
  <c r="F105" s="1"/>
  <c r="I56"/>
  <c r="F97" s="1"/>
  <c r="J55"/>
  <c r="F104" s="1"/>
  <c r="I55"/>
  <c r="F96" s="1"/>
  <c r="J54"/>
  <c r="F103" s="1"/>
  <c r="I54"/>
  <c r="F95" s="1"/>
  <c r="J53"/>
  <c r="F102" s="1"/>
  <c r="I53"/>
  <c r="F94" s="1"/>
  <c r="I45"/>
  <c r="F78" s="1"/>
  <c r="J45"/>
  <c r="F86" s="1"/>
  <c r="G86" s="1"/>
  <c r="I46"/>
  <c r="J46"/>
  <c r="F87" s="1"/>
  <c r="I47"/>
  <c r="F80" s="1"/>
  <c r="J47"/>
  <c r="F88" s="1"/>
  <c r="G88" s="1"/>
  <c r="J44"/>
  <c r="F85" s="1"/>
  <c r="I44"/>
  <c r="F77" s="1"/>
  <c r="V232" i="1"/>
  <c r="V233"/>
  <c r="V234"/>
  <c r="V235"/>
  <c r="V237"/>
  <c r="V238"/>
  <c r="V239"/>
  <c r="V240"/>
  <c r="V241"/>
  <c r="V242"/>
  <c r="V243"/>
  <c r="T232"/>
  <c r="T233"/>
  <c r="T234"/>
  <c r="T235"/>
  <c r="T237"/>
  <c r="T238"/>
  <c r="T239"/>
  <c r="T240"/>
  <c r="T241"/>
  <c r="T242"/>
  <c r="T243"/>
  <c r="U232"/>
  <c r="U233"/>
  <c r="U234"/>
  <c r="U235"/>
  <c r="U237"/>
  <c r="U238"/>
  <c r="U239"/>
  <c r="U240"/>
  <c r="U241"/>
  <c r="U242"/>
  <c r="U243"/>
  <c r="Q240"/>
  <c r="Q239"/>
  <c r="Q238"/>
  <c r="D210"/>
  <c r="D211"/>
  <c r="D212"/>
  <c r="D213"/>
  <c r="D209"/>
  <c r="D195"/>
  <c r="E195" s="1"/>
  <c r="D196"/>
  <c r="E196" s="1"/>
  <c r="D197"/>
  <c r="E197" s="1"/>
  <c r="H197" s="1"/>
  <c r="D194"/>
  <c r="E194" s="1"/>
  <c r="D182"/>
  <c r="D178"/>
  <c r="D179"/>
  <c r="D180"/>
  <c r="D181"/>
  <c r="D177"/>
  <c r="D165"/>
  <c r="D164"/>
  <c r="D163"/>
  <c r="D162"/>
  <c r="D149"/>
  <c r="D148"/>
  <c r="D147"/>
  <c r="D146"/>
  <c r="D145"/>
  <c r="D132"/>
  <c r="E132" s="1"/>
  <c r="H132" s="1"/>
  <c r="D131"/>
  <c r="D130"/>
  <c r="D129"/>
  <c r="D128"/>
  <c r="D116"/>
  <c r="D115"/>
  <c r="D114"/>
  <c r="D113"/>
  <c r="D96"/>
  <c r="D97"/>
  <c r="D98"/>
  <c r="D99"/>
  <c r="D95"/>
  <c r="D81"/>
  <c r="D82"/>
  <c r="D83"/>
  <c r="D80"/>
  <c r="D68"/>
  <c r="E68" s="1"/>
  <c r="H68" s="1"/>
  <c r="D67"/>
  <c r="E67" s="1"/>
  <c r="D66"/>
  <c r="D48"/>
  <c r="D49"/>
  <c r="D50"/>
  <c r="D51"/>
  <c r="E51" s="1"/>
  <c r="D52"/>
  <c r="E52" s="1"/>
  <c r="H52" s="1"/>
  <c r="D53"/>
  <c r="D47"/>
  <c r="D28"/>
  <c r="D29"/>
  <c r="D30"/>
  <c r="D31"/>
  <c r="D32"/>
  <c r="E32" s="1"/>
  <c r="D27"/>
  <c r="D12"/>
  <c r="D13"/>
  <c r="D11"/>
  <c r="D10"/>
  <c r="I212"/>
  <c r="I211"/>
  <c r="E217"/>
  <c r="H217" s="1"/>
  <c r="I217"/>
  <c r="K217" s="1"/>
  <c r="G212"/>
  <c r="G211"/>
  <c r="G209"/>
  <c r="I199"/>
  <c r="K199" s="1"/>
  <c r="I198"/>
  <c r="I197"/>
  <c r="I196"/>
  <c r="K196" s="1"/>
  <c r="I195"/>
  <c r="I194"/>
  <c r="G196"/>
  <c r="I184"/>
  <c r="I183"/>
  <c r="D205"/>
  <c r="H205" s="1"/>
  <c r="I201"/>
  <c r="K201" s="1"/>
  <c r="E201"/>
  <c r="H201" s="1"/>
  <c r="I200"/>
  <c r="K200" s="1"/>
  <c r="H200"/>
  <c r="E199"/>
  <c r="H199" s="1"/>
  <c r="K198"/>
  <c r="E198"/>
  <c r="H198" s="1"/>
  <c r="K197"/>
  <c r="K195"/>
  <c r="G195"/>
  <c r="K194"/>
  <c r="I134"/>
  <c r="K134" s="1"/>
  <c r="E134"/>
  <c r="H134" s="1"/>
  <c r="I132"/>
  <c r="I131"/>
  <c r="K132"/>
  <c r="G130"/>
  <c r="G128"/>
  <c r="C128"/>
  <c r="E104"/>
  <c r="E118"/>
  <c r="I100"/>
  <c r="K100" s="1"/>
  <c r="E100"/>
  <c r="H100" s="1"/>
  <c r="I98"/>
  <c r="I99"/>
  <c r="K99" s="1"/>
  <c r="G99"/>
  <c r="E99"/>
  <c r="G98"/>
  <c r="I97"/>
  <c r="G96"/>
  <c r="I69"/>
  <c r="E69"/>
  <c r="H69" s="1"/>
  <c r="K69"/>
  <c r="I67"/>
  <c r="K67" s="1"/>
  <c r="I68"/>
  <c r="G67"/>
  <c r="G66"/>
  <c r="D76"/>
  <c r="H76" s="1"/>
  <c r="I72"/>
  <c r="K72" s="1"/>
  <c r="E72"/>
  <c r="H72" s="1"/>
  <c r="I71"/>
  <c r="K71" s="1"/>
  <c r="H71"/>
  <c r="I70"/>
  <c r="K70" s="1"/>
  <c r="E70"/>
  <c r="H70" s="1"/>
  <c r="K68"/>
  <c r="I66"/>
  <c r="K66" s="1"/>
  <c r="E66"/>
  <c r="E56"/>
  <c r="H56" s="1"/>
  <c r="I56"/>
  <c r="K56" s="1"/>
  <c r="E54"/>
  <c r="G53"/>
  <c r="I52"/>
  <c r="K52" s="1"/>
  <c r="I50"/>
  <c r="I51"/>
  <c r="G51"/>
  <c r="G47"/>
  <c r="G32"/>
  <c r="E31"/>
  <c r="H31" s="1"/>
  <c r="I31"/>
  <c r="K31" s="1"/>
  <c r="I32"/>
  <c r="K32" s="1"/>
  <c r="G95" i="2" l="1"/>
  <c r="G97"/>
  <c r="G94"/>
  <c r="G102"/>
  <c r="G70"/>
  <c r="G96"/>
  <c r="G80"/>
  <c r="I64"/>
  <c r="F113" s="1"/>
  <c r="G113" s="1"/>
  <c r="G78"/>
  <c r="G77"/>
  <c r="G87"/>
  <c r="G85"/>
  <c r="I62"/>
  <c r="F111" s="1"/>
  <c r="G111" s="1"/>
  <c r="J65"/>
  <c r="F122" s="1"/>
  <c r="G122" s="1"/>
  <c r="J64"/>
  <c r="J63"/>
  <c r="F79"/>
  <c r="G79" s="1"/>
  <c r="J62"/>
  <c r="I65"/>
  <c r="F114" s="1"/>
  <c r="G114" s="1"/>
  <c r="I63"/>
  <c r="F112" s="1"/>
  <c r="G112" s="1"/>
  <c r="L217" i="1"/>
  <c r="H196"/>
  <c r="L196" s="1"/>
  <c r="L134"/>
  <c r="L197"/>
  <c r="L199"/>
  <c r="L201"/>
  <c r="L200"/>
  <c r="E202"/>
  <c r="N194" s="1"/>
  <c r="L198"/>
  <c r="H195"/>
  <c r="L195" s="1"/>
  <c r="H193"/>
  <c r="H204" s="1"/>
  <c r="H206" s="1"/>
  <c r="Q205" s="1"/>
  <c r="H194"/>
  <c r="L194" s="1"/>
  <c r="H99"/>
  <c r="L99" s="1"/>
  <c r="L100"/>
  <c r="L68"/>
  <c r="L132"/>
  <c r="H65"/>
  <c r="H75" s="1"/>
  <c r="H77" s="1"/>
  <c r="Q76" s="1"/>
  <c r="L69"/>
  <c r="H67"/>
  <c r="L67" s="1"/>
  <c r="L70"/>
  <c r="L71"/>
  <c r="L72"/>
  <c r="L31"/>
  <c r="H51"/>
  <c r="L51" s="1"/>
  <c r="L56"/>
  <c r="E73"/>
  <c r="N66" s="1"/>
  <c r="H66"/>
  <c r="L66" s="1"/>
  <c r="K51"/>
  <c r="L52"/>
  <c r="H32"/>
  <c r="L32" s="1"/>
  <c r="G213"/>
  <c r="E213"/>
  <c r="I213"/>
  <c r="K213" s="1"/>
  <c r="K183"/>
  <c r="E183"/>
  <c r="H183" s="1"/>
  <c r="I103"/>
  <c r="K103" s="1"/>
  <c r="E103"/>
  <c r="H103" s="1"/>
  <c r="E58"/>
  <c r="H46" s="1"/>
  <c r="I36" i="2"/>
  <c r="I35"/>
  <c r="J27"/>
  <c r="K27" s="1"/>
  <c r="J28"/>
  <c r="K28" s="1"/>
  <c r="J29"/>
  <c r="K29" s="1"/>
  <c r="J33"/>
  <c r="K33" s="1"/>
  <c r="J34"/>
  <c r="K34" s="1"/>
  <c r="J37"/>
  <c r="K37" s="1"/>
  <c r="H32"/>
  <c r="J32" s="1"/>
  <c r="K32" s="1"/>
  <c r="H31"/>
  <c r="J31" s="1"/>
  <c r="K31" s="1"/>
  <c r="H30"/>
  <c r="J30" s="1"/>
  <c r="K30" s="1"/>
  <c r="J15"/>
  <c r="K15" s="1"/>
  <c r="J14"/>
  <c r="K14" s="1"/>
  <c r="J18"/>
  <c r="K18" s="1"/>
  <c r="J19"/>
  <c r="K19" s="1"/>
  <c r="J20"/>
  <c r="K20" s="1"/>
  <c r="J13"/>
  <c r="K13" s="1"/>
  <c r="H17"/>
  <c r="J17" s="1"/>
  <c r="K17" s="1"/>
  <c r="I16"/>
  <c r="J16" s="1"/>
  <c r="K16" s="1"/>
  <c r="J4"/>
  <c r="K4" s="1"/>
  <c r="J5"/>
  <c r="K5" s="1"/>
  <c r="J6"/>
  <c r="K6" s="1"/>
  <c r="J7"/>
  <c r="K7" s="1"/>
  <c r="J8"/>
  <c r="K8" s="1"/>
  <c r="J9"/>
  <c r="K9" s="1"/>
  <c r="J3"/>
  <c r="O245" i="1"/>
  <c r="H35" i="2" s="1"/>
  <c r="J35" s="1"/>
  <c r="K35" s="1"/>
  <c r="T231" i="1"/>
  <c r="U231" s="1"/>
  <c r="I17"/>
  <c r="I37"/>
  <c r="I36"/>
  <c r="I55"/>
  <c r="I85"/>
  <c r="I102"/>
  <c r="I101"/>
  <c r="I118"/>
  <c r="I135"/>
  <c r="I152"/>
  <c r="I167"/>
  <c r="I216"/>
  <c r="I215"/>
  <c r="I214"/>
  <c r="I35"/>
  <c r="I34"/>
  <c r="I16"/>
  <c r="I220"/>
  <c r="I186"/>
  <c r="I169"/>
  <c r="I154"/>
  <c r="I137"/>
  <c r="I120"/>
  <c r="I105"/>
  <c r="I87"/>
  <c r="I58"/>
  <c r="I39"/>
  <c r="I19"/>
  <c r="I18"/>
  <c r="I38"/>
  <c r="I57"/>
  <c r="I86"/>
  <c r="I104"/>
  <c r="I119"/>
  <c r="I136"/>
  <c r="I153"/>
  <c r="I168"/>
  <c r="I185"/>
  <c r="I219"/>
  <c r="I53"/>
  <c r="I81"/>
  <c r="I82"/>
  <c r="I83"/>
  <c r="I95"/>
  <c r="I96"/>
  <c r="G105" i="2" l="1"/>
  <c r="F121"/>
  <c r="G121" s="1"/>
  <c r="G103"/>
  <c r="F119"/>
  <c r="G119" s="1"/>
  <c r="G104"/>
  <c r="F120"/>
  <c r="G120" s="1"/>
  <c r="J10"/>
  <c r="K203" i="1"/>
  <c r="N195" s="1"/>
  <c r="M203" s="1"/>
  <c r="P203" s="1"/>
  <c r="Q204" s="1"/>
  <c r="Q206" s="1"/>
  <c r="H242" s="1"/>
  <c r="L103"/>
  <c r="H213"/>
  <c r="L213" s="1"/>
  <c r="K74"/>
  <c r="N67" s="1"/>
  <c r="M74" s="1"/>
  <c r="P74" s="1"/>
  <c r="Q75" s="1"/>
  <c r="Q77" s="1"/>
  <c r="H234" s="1"/>
  <c r="L183"/>
  <c r="U245"/>
  <c r="I26" i="2" s="1"/>
  <c r="J26" s="1"/>
  <c r="K26" s="1"/>
  <c r="V231" i="1"/>
  <c r="K3" i="2"/>
  <c r="K10" s="1"/>
  <c r="J21"/>
  <c r="K21" s="1"/>
  <c r="H36"/>
  <c r="J36" s="1"/>
  <c r="K36" s="1"/>
  <c r="V245" i="1"/>
  <c r="I114"/>
  <c r="I115"/>
  <c r="I116"/>
  <c r="I129"/>
  <c r="I130"/>
  <c r="I162"/>
  <c r="I182"/>
  <c r="I12"/>
  <c r="I11"/>
  <c r="I10"/>
  <c r="I27"/>
  <c r="I29"/>
  <c r="I47"/>
  <c r="I80"/>
  <c r="I113"/>
  <c r="I128"/>
  <c r="I149"/>
  <c r="I148"/>
  <c r="I164"/>
  <c r="I180"/>
  <c r="I13"/>
  <c r="I30"/>
  <c r="I28"/>
  <c r="I49"/>
  <c r="I145"/>
  <c r="I163"/>
  <c r="I178"/>
  <c r="I177"/>
  <c r="I210"/>
  <c r="I209"/>
  <c r="J38" i="2" l="1"/>
  <c r="K38" s="1"/>
  <c r="I15" i="1"/>
  <c r="I14"/>
  <c r="I33"/>
  <c r="I54"/>
  <c r="I84"/>
  <c r="I117"/>
  <c r="I133"/>
  <c r="I150"/>
  <c r="I151"/>
  <c r="I166"/>
  <c r="I218"/>
  <c r="D76" i="2" l="1"/>
  <c r="D80" s="1"/>
  <c r="D110"/>
  <c r="D118"/>
  <c r="D101"/>
  <c r="D105" s="1"/>
  <c r="D93"/>
  <c r="D97" s="1"/>
  <c r="D84"/>
  <c r="D88" s="1"/>
  <c r="Q232" i="1"/>
  <c r="Q231"/>
  <c r="G245"/>
  <c r="D224"/>
  <c r="H224" s="1"/>
  <c r="E219"/>
  <c r="H219" s="1"/>
  <c r="L219" s="1"/>
  <c r="E218"/>
  <c r="H218" s="1"/>
  <c r="L218" s="1"/>
  <c r="K218"/>
  <c r="K220"/>
  <c r="K219"/>
  <c r="K216"/>
  <c r="E216"/>
  <c r="H216" s="1"/>
  <c r="L216" s="1"/>
  <c r="K215"/>
  <c r="E215"/>
  <c r="H215" s="1"/>
  <c r="L215" s="1"/>
  <c r="E214"/>
  <c r="H214" s="1"/>
  <c r="K212"/>
  <c r="E212"/>
  <c r="K211"/>
  <c r="E211"/>
  <c r="K210"/>
  <c r="G210"/>
  <c r="E210"/>
  <c r="K209"/>
  <c r="E209"/>
  <c r="D190"/>
  <c r="E185"/>
  <c r="H185" s="1"/>
  <c r="L185" s="1"/>
  <c r="G182"/>
  <c r="E182"/>
  <c r="K181"/>
  <c r="K182"/>
  <c r="E181"/>
  <c r="H181" s="1"/>
  <c r="L181" s="1"/>
  <c r="G180"/>
  <c r="G179"/>
  <c r="G178"/>
  <c r="C178"/>
  <c r="E178" s="1"/>
  <c r="H190"/>
  <c r="K186"/>
  <c r="K185"/>
  <c r="K184"/>
  <c r="E184"/>
  <c r="H184" s="1"/>
  <c r="L184" s="1"/>
  <c r="K180"/>
  <c r="E180"/>
  <c r="K179"/>
  <c r="E179"/>
  <c r="K178"/>
  <c r="K177"/>
  <c r="E177"/>
  <c r="D173"/>
  <c r="H173" s="1"/>
  <c r="G164"/>
  <c r="G162"/>
  <c r="K169"/>
  <c r="K168"/>
  <c r="E168"/>
  <c r="H168" s="1"/>
  <c r="L168" s="1"/>
  <c r="K167"/>
  <c r="E167"/>
  <c r="H167" s="1"/>
  <c r="L167" s="1"/>
  <c r="K166"/>
  <c r="E166"/>
  <c r="H166" s="1"/>
  <c r="L166" s="1"/>
  <c r="K165"/>
  <c r="E165"/>
  <c r="H165" s="1"/>
  <c r="L165" s="1"/>
  <c r="K164"/>
  <c r="E164"/>
  <c r="K163"/>
  <c r="E163"/>
  <c r="H163" s="1"/>
  <c r="L163" s="1"/>
  <c r="K162"/>
  <c r="E162"/>
  <c r="D158"/>
  <c r="H158" s="1"/>
  <c r="E151"/>
  <c r="H151" s="1"/>
  <c r="L151" s="1"/>
  <c r="G149"/>
  <c r="G148"/>
  <c r="G146"/>
  <c r="K154"/>
  <c r="K153"/>
  <c r="E153"/>
  <c r="E154" s="1"/>
  <c r="K152"/>
  <c r="E152"/>
  <c r="H152" s="1"/>
  <c r="L152" s="1"/>
  <c r="K151"/>
  <c r="K150"/>
  <c r="E150"/>
  <c r="H150" s="1"/>
  <c r="L150" s="1"/>
  <c r="K149"/>
  <c r="E149"/>
  <c r="K148"/>
  <c r="E148"/>
  <c r="K147"/>
  <c r="E147"/>
  <c r="H147" s="1"/>
  <c r="L147" s="1"/>
  <c r="K146"/>
  <c r="E146"/>
  <c r="K145"/>
  <c r="E145"/>
  <c r="E135"/>
  <c r="H135" s="1"/>
  <c r="L135" s="1"/>
  <c r="D141"/>
  <c r="H141" s="1"/>
  <c r="K137"/>
  <c r="K136"/>
  <c r="H136"/>
  <c r="L136" s="1"/>
  <c r="K135"/>
  <c r="K133"/>
  <c r="E133"/>
  <c r="H133" s="1"/>
  <c r="L133" s="1"/>
  <c r="K131"/>
  <c r="E131"/>
  <c r="H131" s="1"/>
  <c r="L131" s="1"/>
  <c r="K130"/>
  <c r="E130"/>
  <c r="H130" s="1"/>
  <c r="L130" s="1"/>
  <c r="K129"/>
  <c r="E129"/>
  <c r="H129" s="1"/>
  <c r="L129" s="1"/>
  <c r="K128"/>
  <c r="E128"/>
  <c r="D124"/>
  <c r="H124" s="1"/>
  <c r="E119"/>
  <c r="E120" s="1"/>
  <c r="E117"/>
  <c r="H117" s="1"/>
  <c r="L117" s="1"/>
  <c r="G115"/>
  <c r="G113"/>
  <c r="K120"/>
  <c r="K119"/>
  <c r="K118"/>
  <c r="H118"/>
  <c r="L118" s="1"/>
  <c r="K117"/>
  <c r="K116"/>
  <c r="E116"/>
  <c r="H116" s="1"/>
  <c r="L116" s="1"/>
  <c r="K115"/>
  <c r="E115"/>
  <c r="K114"/>
  <c r="E114"/>
  <c r="H114" s="1"/>
  <c r="L114" s="1"/>
  <c r="K113"/>
  <c r="E113"/>
  <c r="E102"/>
  <c r="H102" s="1"/>
  <c r="L102" s="1"/>
  <c r="G97"/>
  <c r="G95"/>
  <c r="H109"/>
  <c r="K105"/>
  <c r="K104"/>
  <c r="H104"/>
  <c r="L104" s="1"/>
  <c r="K102"/>
  <c r="K101"/>
  <c r="E101"/>
  <c r="H101" s="1"/>
  <c r="L101" s="1"/>
  <c r="K98"/>
  <c r="E98"/>
  <c r="H98" s="1"/>
  <c r="L98" s="1"/>
  <c r="K97"/>
  <c r="E97"/>
  <c r="K96"/>
  <c r="E96"/>
  <c r="H96" s="1"/>
  <c r="L96" s="1"/>
  <c r="K95"/>
  <c r="E95"/>
  <c r="D91"/>
  <c r="H91" s="1"/>
  <c r="E86"/>
  <c r="E87" s="1"/>
  <c r="K84"/>
  <c r="E84"/>
  <c r="H84" s="1"/>
  <c r="L84" s="1"/>
  <c r="G82"/>
  <c r="C81"/>
  <c r="E81" s="1"/>
  <c r="H81" s="1"/>
  <c r="L81" s="1"/>
  <c r="G80"/>
  <c r="K87"/>
  <c r="K86"/>
  <c r="K85"/>
  <c r="E85"/>
  <c r="H85" s="1"/>
  <c r="L85" s="1"/>
  <c r="K83"/>
  <c r="E83"/>
  <c r="H83" s="1"/>
  <c r="L83" s="1"/>
  <c r="K82"/>
  <c r="E82"/>
  <c r="H82" s="1"/>
  <c r="L82" s="1"/>
  <c r="K81"/>
  <c r="K80"/>
  <c r="E80"/>
  <c r="H61"/>
  <c r="D62"/>
  <c r="H62" s="1"/>
  <c r="H58"/>
  <c r="L58" s="1"/>
  <c r="H57"/>
  <c r="L57" s="1"/>
  <c r="H54"/>
  <c r="L54" s="1"/>
  <c r="E55"/>
  <c r="H55" s="1"/>
  <c r="L55" s="1"/>
  <c r="E53"/>
  <c r="K53"/>
  <c r="E50"/>
  <c r="K58"/>
  <c r="K57"/>
  <c r="K55"/>
  <c r="K54"/>
  <c r="K50"/>
  <c r="K49"/>
  <c r="E49"/>
  <c r="H49" s="1"/>
  <c r="L49" s="1"/>
  <c r="K48"/>
  <c r="E48"/>
  <c r="H48" s="1"/>
  <c r="L48" s="1"/>
  <c r="K47"/>
  <c r="E47"/>
  <c r="D23"/>
  <c r="H23" s="1"/>
  <c r="D43"/>
  <c r="H43" s="1"/>
  <c r="E37"/>
  <c r="H37" s="1"/>
  <c r="L37" s="1"/>
  <c r="K37"/>
  <c r="E34"/>
  <c r="H34" s="1"/>
  <c r="L34" s="1"/>
  <c r="E33"/>
  <c r="H33" s="1"/>
  <c r="L33" s="1"/>
  <c r="G29"/>
  <c r="G28"/>
  <c r="K39"/>
  <c r="E39"/>
  <c r="K38"/>
  <c r="E38"/>
  <c r="H38" s="1"/>
  <c r="L38" s="1"/>
  <c r="K36"/>
  <c r="E36"/>
  <c r="H36" s="1"/>
  <c r="L36" s="1"/>
  <c r="K35"/>
  <c r="E35"/>
  <c r="H35" s="1"/>
  <c r="L35" s="1"/>
  <c r="K34"/>
  <c r="K33"/>
  <c r="K30"/>
  <c r="E30"/>
  <c r="K29"/>
  <c r="E29"/>
  <c r="K28"/>
  <c r="E28"/>
  <c r="K27"/>
  <c r="G27"/>
  <c r="E27"/>
  <c r="E18"/>
  <c r="H18" s="1"/>
  <c r="L18" s="1"/>
  <c r="E19"/>
  <c r="K18"/>
  <c r="K19"/>
  <c r="E15"/>
  <c r="H15" s="1"/>
  <c r="L15" s="1"/>
  <c r="E14"/>
  <c r="H14" s="1"/>
  <c r="L14" s="1"/>
  <c r="G13"/>
  <c r="G12"/>
  <c r="G11"/>
  <c r="G10"/>
  <c r="E10"/>
  <c r="K10"/>
  <c r="E11"/>
  <c r="K11"/>
  <c r="E12"/>
  <c r="K12"/>
  <c r="E13"/>
  <c r="K13"/>
  <c r="K14"/>
  <c r="K15"/>
  <c r="E16"/>
  <c r="H16" s="1"/>
  <c r="L16" s="1"/>
  <c r="K16"/>
  <c r="E17"/>
  <c r="H17" s="1"/>
  <c r="L17" s="1"/>
  <c r="K17"/>
  <c r="D121" i="2" l="1"/>
  <c r="H121" s="1"/>
  <c r="D122"/>
  <c r="D120"/>
  <c r="D114"/>
  <c r="D112"/>
  <c r="D113"/>
  <c r="D96"/>
  <c r="D95"/>
  <c r="H96"/>
  <c r="D79"/>
  <c r="D78"/>
  <c r="D87"/>
  <c r="D86"/>
  <c r="H86" s="1"/>
  <c r="D104"/>
  <c r="D103"/>
  <c r="H113"/>
  <c r="H95"/>
  <c r="D77"/>
  <c r="H77" s="1"/>
  <c r="D94"/>
  <c r="H94" s="1"/>
  <c r="D119"/>
  <c r="H119" s="1"/>
  <c r="D111"/>
  <c r="H111" s="1"/>
  <c r="H78"/>
  <c r="H80"/>
  <c r="H103"/>
  <c r="H87"/>
  <c r="H104"/>
  <c r="D102"/>
  <c r="H102" s="1"/>
  <c r="D85"/>
  <c r="H85" s="1"/>
  <c r="H79"/>
  <c r="H164" i="1"/>
  <c r="L164" s="1"/>
  <c r="H180"/>
  <c r="L180" s="1"/>
  <c r="H154"/>
  <c r="L154" s="1"/>
  <c r="H144"/>
  <c r="H157" s="1"/>
  <c r="H159" s="1"/>
  <c r="Q158" s="1"/>
  <c r="H39"/>
  <c r="L39" s="1"/>
  <c r="H26"/>
  <c r="H42" s="1"/>
  <c r="H120"/>
  <c r="L120" s="1"/>
  <c r="H112"/>
  <c r="H123" s="1"/>
  <c r="H19"/>
  <c r="L19" s="1"/>
  <c r="H9"/>
  <c r="H22" s="1"/>
  <c r="H24" s="1"/>
  <c r="Q23" s="1"/>
  <c r="H87"/>
  <c r="L87" s="1"/>
  <c r="H79"/>
  <c r="H90" s="1"/>
  <c r="H11"/>
  <c r="L11" s="1"/>
  <c r="Q245"/>
  <c r="H210"/>
  <c r="L210" s="1"/>
  <c r="H179"/>
  <c r="L179" s="1"/>
  <c r="H211"/>
  <c r="L211" s="1"/>
  <c r="H212"/>
  <c r="L212" s="1"/>
  <c r="H209"/>
  <c r="L209" s="1"/>
  <c r="E220"/>
  <c r="H182"/>
  <c r="L182" s="1"/>
  <c r="H178"/>
  <c r="L178" s="1"/>
  <c r="H177"/>
  <c r="L177" s="1"/>
  <c r="E186"/>
  <c r="H63"/>
  <c r="Q62" s="1"/>
  <c r="H146"/>
  <c r="L146" s="1"/>
  <c r="H115"/>
  <c r="L115" s="1"/>
  <c r="H162"/>
  <c r="L162" s="1"/>
  <c r="E169"/>
  <c r="H29"/>
  <c r="L29" s="1"/>
  <c r="E155"/>
  <c r="N145" s="1"/>
  <c r="H148"/>
  <c r="L148" s="1"/>
  <c r="H153"/>
  <c r="L153" s="1"/>
  <c r="H149"/>
  <c r="L149" s="1"/>
  <c r="H145"/>
  <c r="L145" s="1"/>
  <c r="H128"/>
  <c r="L128" s="1"/>
  <c r="E137"/>
  <c r="H125"/>
  <c r="Q124" s="1"/>
  <c r="E121"/>
  <c r="N113" s="1"/>
  <c r="H119"/>
  <c r="L119" s="1"/>
  <c r="H86"/>
  <c r="L86" s="1"/>
  <c r="H95"/>
  <c r="L95" s="1"/>
  <c r="H97"/>
  <c r="L97" s="1"/>
  <c r="H113"/>
  <c r="L113" s="1"/>
  <c r="E105"/>
  <c r="H92"/>
  <c r="Q91" s="1"/>
  <c r="E88"/>
  <c r="N80" s="1"/>
  <c r="H80"/>
  <c r="L80" s="1"/>
  <c r="H12"/>
  <c r="L12" s="1"/>
  <c r="H44"/>
  <c r="Q43" s="1"/>
  <c r="H28"/>
  <c r="L28" s="1"/>
  <c r="H53"/>
  <c r="L53" s="1"/>
  <c r="E59"/>
  <c r="N47" s="1"/>
  <c r="H50"/>
  <c r="L50" s="1"/>
  <c r="H47"/>
  <c r="L47" s="1"/>
  <c r="E20"/>
  <c r="N10" s="1"/>
  <c r="H30"/>
  <c r="L30" s="1"/>
  <c r="E40"/>
  <c r="N27" s="1"/>
  <c r="H27"/>
  <c r="L27" s="1"/>
  <c r="H13"/>
  <c r="L13" s="1"/>
  <c r="H10"/>
  <c r="L10" s="1"/>
  <c r="H97" i="2" l="1"/>
  <c r="H88"/>
  <c r="H122"/>
  <c r="H120"/>
  <c r="H114"/>
  <c r="H112"/>
  <c r="H105"/>
  <c r="H169" i="1"/>
  <c r="L169" s="1"/>
  <c r="K171" s="1"/>
  <c r="H161"/>
  <c r="H172" s="1"/>
  <c r="H174" s="1"/>
  <c r="Q173" s="1"/>
  <c r="H186"/>
  <c r="L186" s="1"/>
  <c r="K188" s="1"/>
  <c r="H176"/>
  <c r="H189" s="1"/>
  <c r="H191" s="1"/>
  <c r="Q190" s="1"/>
  <c r="H220"/>
  <c r="L220" s="1"/>
  <c r="H208"/>
  <c r="H223" s="1"/>
  <c r="H225" s="1"/>
  <c r="Q224" s="1"/>
  <c r="H105"/>
  <c r="L105" s="1"/>
  <c r="K107" s="1"/>
  <c r="H94"/>
  <c r="H108" s="1"/>
  <c r="H110" s="1"/>
  <c r="Q109" s="1"/>
  <c r="H137"/>
  <c r="L137" s="1"/>
  <c r="H127"/>
  <c r="H140" s="1"/>
  <c r="H142" s="1"/>
  <c r="Q141" s="1"/>
  <c r="K122"/>
  <c r="N114" s="1"/>
  <c r="M122" s="1"/>
  <c r="P122" s="1"/>
  <c r="Q123" s="1"/>
  <c r="Q125" s="1"/>
  <c r="H237" s="1"/>
  <c r="K89"/>
  <c r="N81" s="1"/>
  <c r="M89" s="1"/>
  <c r="P89" s="1"/>
  <c r="Q90" s="1"/>
  <c r="Q92" s="1"/>
  <c r="H235" s="1"/>
  <c r="E106"/>
  <c r="N95" s="1"/>
  <c r="E221"/>
  <c r="N209" s="1"/>
  <c r="E187"/>
  <c r="N177" s="1"/>
  <c r="E170"/>
  <c r="N162" s="1"/>
  <c r="E138"/>
  <c r="N128" s="1"/>
  <c r="K156"/>
  <c r="N146" s="1"/>
  <c r="M156" s="1"/>
  <c r="P156" s="1"/>
  <c r="Q157" s="1"/>
  <c r="Q159" s="1"/>
  <c r="H239" s="1"/>
  <c r="K139"/>
  <c r="K21"/>
  <c r="N11" s="1"/>
  <c r="M21" s="1"/>
  <c r="P21" s="1"/>
  <c r="Q22" s="1"/>
  <c r="Q24" s="1"/>
  <c r="H231" s="1"/>
  <c r="K60"/>
  <c r="N48" s="1"/>
  <c r="M60" s="1"/>
  <c r="P60" s="1"/>
  <c r="Q61" s="1"/>
  <c r="Q63" s="1"/>
  <c r="H233" s="1"/>
  <c r="K41"/>
  <c r="N28" s="1"/>
  <c r="M41" s="1"/>
  <c r="P41" s="1"/>
  <c r="Q42" s="1"/>
  <c r="Q44" s="1"/>
  <c r="H232" s="1"/>
  <c r="H246" l="1"/>
  <c r="N96"/>
  <c r="M107" s="1"/>
  <c r="P107" s="1"/>
  <c r="Q108" s="1"/>
  <c r="Q110" s="1"/>
  <c r="H236" s="1"/>
  <c r="N178"/>
  <c r="M188" s="1"/>
  <c r="P188" s="1"/>
  <c r="Q189" s="1"/>
  <c r="Q191" s="1"/>
  <c r="H241" s="1"/>
  <c r="N163"/>
  <c r="M171" s="1"/>
  <c r="P171" s="1"/>
  <c r="Q172" s="1"/>
  <c r="Q174" s="1"/>
  <c r="H240" s="1"/>
  <c r="N129"/>
  <c r="M139" s="1"/>
  <c r="P139" s="1"/>
  <c r="Q140" s="1"/>
  <c r="Q142" s="1"/>
  <c r="H238" s="1"/>
  <c r="K214"/>
  <c r="L214"/>
  <c r="K222" s="1"/>
  <c r="N210" l="1"/>
  <c r="M222" s="1"/>
  <c r="P222" s="1"/>
  <c r="Q223" s="1"/>
  <c r="Q225" s="1"/>
  <c r="H243" l="1"/>
  <c r="H247" s="1"/>
  <c r="H245" l="1"/>
</calcChain>
</file>

<file path=xl/sharedStrings.xml><?xml version="1.0" encoding="utf-8"?>
<sst xmlns="http://schemas.openxmlformats.org/spreadsheetml/2006/main" count="828" uniqueCount="338">
  <si>
    <t>Plocha stěny</t>
  </si>
  <si>
    <t>Základní tepelná ztráta</t>
  </si>
  <si>
    <t>Přirážky</t>
  </si>
  <si>
    <t>Ozn.   Stěny</t>
  </si>
  <si>
    <t>Tlouštka   stěny</t>
  </si>
  <si>
    <t>Délka</t>
  </si>
  <si>
    <t>Šířka Výška</t>
  </si>
  <si>
    <t>Plocha</t>
  </si>
  <si>
    <t>Počet otvorů</t>
  </si>
  <si>
    <t>Plocha bez otvorů</t>
  </si>
  <si>
    <t>Souč. prostupu    tepla</t>
  </si>
  <si>
    <t>Rozdíl teplot</t>
  </si>
  <si>
    <t>Tepl. Ztráta</t>
  </si>
  <si>
    <t>P1</t>
  </si>
  <si>
    <t>P2</t>
  </si>
  <si>
    <t>P3</t>
  </si>
  <si>
    <t>Qo</t>
  </si>
  <si>
    <t>Qv=1300*Vv*(ti-te)</t>
  </si>
  <si>
    <t>Vv=</t>
  </si>
  <si>
    <t>V=</t>
  </si>
  <si>
    <t>m</t>
  </si>
  <si>
    <t>Qo=</t>
  </si>
  <si>
    <t>S=</t>
  </si>
  <si>
    <t>Kc=</t>
  </si>
  <si>
    <t>Qp=</t>
  </si>
  <si>
    <t>Vvh=</t>
  </si>
  <si>
    <t>Vvp=</t>
  </si>
  <si>
    <t>B=</t>
  </si>
  <si>
    <t>M=</t>
  </si>
  <si>
    <t>Qv=</t>
  </si>
  <si>
    <t>SO1</t>
  </si>
  <si>
    <t>SO2</t>
  </si>
  <si>
    <t>SN1</t>
  </si>
  <si>
    <t>U</t>
  </si>
  <si>
    <t>Δt</t>
  </si>
  <si>
    <t>UxΔt</t>
  </si>
  <si>
    <t>SO</t>
  </si>
  <si>
    <t>Stěna ochlazovaná</t>
  </si>
  <si>
    <t>SN</t>
  </si>
  <si>
    <t>Stěna neochlazovaná</t>
  </si>
  <si>
    <t>Podlaha</t>
  </si>
  <si>
    <t>Střecha</t>
  </si>
  <si>
    <t>Qv</t>
  </si>
  <si>
    <t>Tepelná ztráta místnosti větráním</t>
  </si>
  <si>
    <t>Vnitřní objem místnosti</t>
  </si>
  <si>
    <t>B</t>
  </si>
  <si>
    <t>M</t>
  </si>
  <si>
    <t>Souč. prostupu tepla U</t>
  </si>
  <si>
    <t>Dveře vnitřní</t>
  </si>
  <si>
    <t>SO3</t>
  </si>
  <si>
    <t>Vypracoval: Ing. Pavel Viktora</t>
  </si>
  <si>
    <t>V Havlíčkově Brodě</t>
  </si>
  <si>
    <t>ti</t>
  </si>
  <si>
    <t>te</t>
  </si>
  <si>
    <t>Celková tepel. ztráta Qc</t>
  </si>
  <si>
    <r>
      <t>1.01 Garáž č. 1 + sklad,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</si>
  <si>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Plocha otvoru</t>
  </si>
  <si>
    <t>SN4</t>
  </si>
  <si>
    <t>O1</t>
  </si>
  <si>
    <t>O2</t>
  </si>
  <si>
    <t>V1</t>
  </si>
  <si>
    <t>D1</t>
  </si>
  <si>
    <t>STR</t>
  </si>
  <si>
    <t>PDL</t>
  </si>
  <si>
    <t>L=</t>
  </si>
  <si>
    <r>
      <t>i</t>
    </r>
    <r>
      <rPr>
        <vertAlign val="subscript"/>
        <sz val="8"/>
        <rFont val="Arial CE"/>
        <charset val="238"/>
      </rPr>
      <t>lv</t>
    </r>
    <r>
      <rPr>
        <sz val="8"/>
        <rFont val="Arial CE"/>
        <family val="2"/>
        <charset val="238"/>
      </rPr>
      <t>=</t>
    </r>
  </si>
  <si>
    <t>Qc=</t>
  </si>
  <si>
    <r>
      <t>1.02,1.03,1.04,1.05 Garáže, ti=5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</si>
  <si>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SN2</t>
  </si>
  <si>
    <t>V2</t>
  </si>
  <si>
    <t>D2</t>
  </si>
  <si>
    <t>SN3</t>
  </si>
  <si>
    <t>SO5</t>
  </si>
  <si>
    <t>O3</t>
  </si>
  <si>
    <t>D3</t>
  </si>
  <si>
    <t>O5</t>
  </si>
  <si>
    <t>O4</t>
  </si>
  <si>
    <t>SN5</t>
  </si>
  <si>
    <t>SO4</t>
  </si>
  <si>
    <t>SN6</t>
  </si>
  <si>
    <t>O6</t>
  </si>
  <si>
    <t>O7</t>
  </si>
  <si>
    <t>D4</t>
  </si>
  <si>
    <t>1.01</t>
  </si>
  <si>
    <t>Garáž č.1 + Sklad</t>
  </si>
  <si>
    <t>m.č.</t>
  </si>
  <si>
    <t>Název místnosti</t>
  </si>
  <si>
    <t>Celk. tep. ztráta</t>
  </si>
  <si>
    <t>Otopné těleso</t>
  </si>
  <si>
    <t>Počet ks</t>
  </si>
  <si>
    <t>Popis tělesa</t>
  </si>
  <si>
    <t>Tep. interiéru</t>
  </si>
  <si>
    <t>1.02</t>
  </si>
  <si>
    <t>Garáže č. 2, 3, 4, 5</t>
  </si>
  <si>
    <t>1.10</t>
  </si>
  <si>
    <t>1.11</t>
  </si>
  <si>
    <t>1.12</t>
  </si>
  <si>
    <t>1.13</t>
  </si>
  <si>
    <t>1.14</t>
  </si>
  <si>
    <t>1.15</t>
  </si>
  <si>
    <t>1.16</t>
  </si>
  <si>
    <t>1.17</t>
  </si>
  <si>
    <t>WC muži</t>
  </si>
  <si>
    <t>Společenská místnost</t>
  </si>
  <si>
    <t>Kuchyňka</t>
  </si>
  <si>
    <t>Šatna</t>
  </si>
  <si>
    <t>Strop garáže</t>
  </si>
  <si>
    <t>Strop obytná část</t>
  </si>
  <si>
    <t>Okna</t>
  </si>
  <si>
    <t>Dveře vchodové</t>
  </si>
  <si>
    <t>Vrata</t>
  </si>
  <si>
    <t>Vrata 3x3,3m</t>
  </si>
  <si>
    <t>Vrata 1,5x2,5m</t>
  </si>
  <si>
    <t>Dveře vnitřní 90</t>
  </si>
  <si>
    <t>Dveře vnitřní 80</t>
  </si>
  <si>
    <t>Dveře vnitřní 60</t>
  </si>
  <si>
    <t>Dveře vchodové 80</t>
  </si>
  <si>
    <t>Okno 0,9x0,9</t>
  </si>
  <si>
    <t>Okno 2,0x1,5</t>
  </si>
  <si>
    <t>Okno 1,5x0,9</t>
  </si>
  <si>
    <t>Okno 1,2x0,9</t>
  </si>
  <si>
    <t>Okno 0,6x0,6</t>
  </si>
  <si>
    <t>Okno 1,2x1,5</t>
  </si>
  <si>
    <t>Okno 1,2x1,2</t>
  </si>
  <si>
    <t>Ozn.</t>
  </si>
  <si>
    <t>Název</t>
  </si>
  <si>
    <t>POSTUP VÝPOČTU:</t>
  </si>
  <si>
    <t>1.</t>
  </si>
  <si>
    <t>Celková tepelná ztráta</t>
  </si>
  <si>
    <t>Qc = Qp + Qv - Qz</t>
  </si>
  <si>
    <t>Qc</t>
  </si>
  <si>
    <t>Qp</t>
  </si>
  <si>
    <t>Qz</t>
  </si>
  <si>
    <t>Celková tepelná ztráta budovy</t>
  </si>
  <si>
    <t>W</t>
  </si>
  <si>
    <t>Tepelná ztráta prostupem tepla</t>
  </si>
  <si>
    <t>Tepelná ztráta větráním</t>
  </si>
  <si>
    <t>Trvalý tepelný zisk</t>
  </si>
  <si>
    <t>2.</t>
  </si>
  <si>
    <t>p1</t>
  </si>
  <si>
    <t>p2</t>
  </si>
  <si>
    <t>p3</t>
  </si>
  <si>
    <t>Zákl. tep. ztráta prostupem tepla</t>
  </si>
  <si>
    <t>připrážka na vyrovnání vlivu chladných kcí</t>
  </si>
  <si>
    <t>přirážka na urychlení zátopu</t>
  </si>
  <si>
    <t>přirážka na světovou stranu</t>
  </si>
  <si>
    <r>
      <t>Qp = Q</t>
    </r>
    <r>
      <rPr>
        <b/>
        <vertAlign val="subscript"/>
        <sz val="8"/>
        <rFont val="Arial CE"/>
        <charset val="238"/>
      </rPr>
      <t>0</t>
    </r>
    <r>
      <rPr>
        <b/>
        <sz val="8"/>
        <rFont val="Arial CE"/>
        <charset val="238"/>
      </rPr>
      <t xml:space="preserve"> x (1+p1+p2+p3)</t>
    </r>
  </si>
  <si>
    <t>Celk. výkon</t>
  </si>
  <si>
    <t>VK 22 1800x500</t>
  </si>
  <si>
    <t>VK 22 700x500</t>
  </si>
  <si>
    <t>VK 22 800x900</t>
  </si>
  <si>
    <t>KRM 1220.600</t>
  </si>
  <si>
    <t>VK 22 900x500</t>
  </si>
  <si>
    <t>cena/ks</t>
  </si>
  <si>
    <t>celkem vč. DPH</t>
  </si>
  <si>
    <t>Sleva 15%/ks</t>
  </si>
  <si>
    <t>cena celkem po slevě</t>
  </si>
  <si>
    <t>Komín Schiedel UNI Plus DN250</t>
  </si>
  <si>
    <t>Příčka Ytong tl. 150mm + omítka</t>
  </si>
  <si>
    <t>Zárubně + dveře</t>
  </si>
  <si>
    <t>Vrata ocelová</t>
  </si>
  <si>
    <t>Zednické a bourací práce</t>
  </si>
  <si>
    <t>Mtž kotle vč. napojení na systém typoné</t>
  </si>
  <si>
    <t>cena/mj</t>
  </si>
  <si>
    <t>celkem bez DPH</t>
  </si>
  <si>
    <t>Celkem s DPH</t>
  </si>
  <si>
    <t>Kotelna + kotel</t>
  </si>
  <si>
    <t>Výkop rýh š. do 60cm</t>
  </si>
  <si>
    <t>množství</t>
  </si>
  <si>
    <t>m.j.</t>
  </si>
  <si>
    <t>kus</t>
  </si>
  <si>
    <t>soubor</t>
  </si>
  <si>
    <t>m2</t>
  </si>
  <si>
    <t>Potrubí předizolované DN 32</t>
  </si>
  <si>
    <t>m3</t>
  </si>
  <si>
    <t>mb</t>
  </si>
  <si>
    <t>Obryp potrubí štěrkopískem</t>
  </si>
  <si>
    <t>Zásyp rýhy zeminou</t>
  </si>
  <si>
    <t>doplnění ornice a osetí travou</t>
  </si>
  <si>
    <t>Průraz do objektu + zednické práce</t>
  </si>
  <si>
    <t>Náklady na věcné břemeno</t>
  </si>
  <si>
    <t>Teplovod</t>
  </si>
  <si>
    <t>Potrubí DN 32</t>
  </si>
  <si>
    <t>Otopná tělesa</t>
  </si>
  <si>
    <t>Potrubí Cu 15x1 pájené na měkko</t>
  </si>
  <si>
    <t>Potrubí Cu 18x1 pájené na měkko</t>
  </si>
  <si>
    <t>Potrubí Cu 22x1 pájené na měkko</t>
  </si>
  <si>
    <t>Izolace mirelon DN 15 tl. 13mm</t>
  </si>
  <si>
    <t>Izolace mirelon DN 18 tl. 13mm</t>
  </si>
  <si>
    <t>Izolace mirelon DN 22 tl. 13mm</t>
  </si>
  <si>
    <t>Zednické práce</t>
  </si>
  <si>
    <t>Čerpadlo do oběhové soustavy</t>
  </si>
  <si>
    <t>Měření a regulace (termostat, ekvitermní regulace)</t>
  </si>
  <si>
    <t>D+M Připojovací armarury k tělesům VK</t>
  </si>
  <si>
    <t>D+M Termostatické hlavice</t>
  </si>
  <si>
    <t>Otopná soustava - tělesa + potrubí Cu</t>
  </si>
  <si>
    <t>MWh/rok</t>
  </si>
  <si>
    <t>GJ/rok</t>
  </si>
  <si>
    <t>Potřeba tepla na vytápění</t>
  </si>
  <si>
    <t>Spotřeba paliva</t>
  </si>
  <si>
    <t>Cena za vytápění celkem</t>
  </si>
  <si>
    <t>Uhlí</t>
  </si>
  <si>
    <t>Celk. tep. ztráta Qc [W]</t>
  </si>
  <si>
    <t>Uhlí [kg]</t>
  </si>
  <si>
    <t>Teplovod [GJ]</t>
  </si>
  <si>
    <t>Náklady na pořízení</t>
  </si>
  <si>
    <t>Vytápění nová cena</t>
  </si>
  <si>
    <t>Náklady na pořízení kotelny s uhelnou resp. teplovodu</t>
  </si>
  <si>
    <t>Náklady na pořízení - otopná soustava uvnitř objektu</t>
  </si>
  <si>
    <t>Základní tepelná ztráta prostupem tepla:</t>
  </si>
  <si>
    <r>
      <t>Q</t>
    </r>
    <r>
      <rPr>
        <vertAlign val="subscript"/>
        <sz val="8"/>
        <rFont val="Arial CE"/>
        <charset val="238"/>
      </rPr>
      <t>0</t>
    </r>
  </si>
  <si>
    <t>S</t>
  </si>
  <si>
    <t>plocha ochalzované části st. kce</t>
  </si>
  <si>
    <t>součinitel prostupu tepla</t>
  </si>
  <si>
    <r>
      <t>t</t>
    </r>
    <r>
      <rPr>
        <vertAlign val="subscript"/>
        <sz val="8"/>
        <rFont val="Arial CE"/>
        <charset val="238"/>
      </rPr>
      <t>i</t>
    </r>
  </si>
  <si>
    <r>
      <t>t</t>
    </r>
    <r>
      <rPr>
        <vertAlign val="subscript"/>
        <sz val="8"/>
        <rFont val="Arial CE"/>
        <charset val="238"/>
      </rPr>
      <t>e</t>
    </r>
  </si>
  <si>
    <t>výpočtová vnitřní teplota</t>
  </si>
  <si>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</si>
  <si>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t>teplota na vnější straně konstrukce (sousední místnost nebo venkovní teplota)</t>
  </si>
  <si>
    <r>
      <t>t</t>
    </r>
    <r>
      <rPr>
        <vertAlign val="subscript"/>
        <sz val="8"/>
        <rFont val="Arial CE"/>
        <charset val="238"/>
      </rPr>
      <t>i</t>
    </r>
    <r>
      <rPr>
        <sz val="8"/>
        <rFont val="Arial CE"/>
        <charset val="238"/>
      </rPr>
      <t xml:space="preserve"> &lt; t</t>
    </r>
    <r>
      <rPr>
        <vertAlign val="subscript"/>
        <sz val="8"/>
        <rFont val="Arial CE"/>
        <charset val="238"/>
      </rPr>
      <t>e</t>
    </r>
  </si>
  <si>
    <t>tepelný tok má zápornou hodnotu a jedná se tedy o tepelný zisk</t>
  </si>
  <si>
    <t>Plocha všech konstrukcí ohraničujících vytápěnou místnost</t>
  </si>
  <si>
    <t>při denní době vytápění delší nebo rovné 16hod</t>
  </si>
  <si>
    <t>při vytápění méně než 16hod</t>
  </si>
  <si>
    <r>
      <t xml:space="preserve">uvažuje se v bytové zástavbě, nemocnicích, apod. pouze tehdy, pokud ani při nejnižších venkovních teplotách nelze zajistit nepřerušovaný provoz vytápění. U budov se samostatnou kotelnou na tuhá paliva o výkonu menším než 150kW se počítá s provozem přerušovaným. </t>
    </r>
    <r>
      <rPr>
        <b/>
        <sz val="8"/>
        <rFont val="Arial CE"/>
        <charset val="238"/>
      </rPr>
      <t>Za normálních okolností se p2=0, protože se předpokládá nepřerušovaný provoz vytápění.</t>
    </r>
  </si>
  <si>
    <t>O přirážce na světovou stranu rozhoduje poloha nejvíce ochlazované konstrukce. Při více ochlazovaných konstrukcích rozhoduje poloha jejichj rohu. U místností se třemi rohy se vždy uvažuje sever (přirážka největší).</t>
  </si>
  <si>
    <t>Světová strana</t>
  </si>
  <si>
    <t>Přirážka p3</t>
  </si>
  <si>
    <t>J</t>
  </si>
  <si>
    <t>JZ</t>
  </si>
  <si>
    <t>Z</t>
  </si>
  <si>
    <t>SZ</t>
  </si>
  <si>
    <t>SV</t>
  </si>
  <si>
    <t>V</t>
  </si>
  <si>
    <t>JV</t>
  </si>
  <si>
    <t>3.</t>
  </si>
  <si>
    <r>
      <t>Q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= 1300 x V</t>
    </r>
    <r>
      <rPr>
        <b/>
        <vertAlign val="subscript"/>
        <sz val="8"/>
        <rFont val="Arial CE"/>
        <charset val="238"/>
      </rPr>
      <t>v</t>
    </r>
    <r>
      <rPr>
        <b/>
        <sz val="8"/>
        <rFont val="Arial CE"/>
        <charset val="238"/>
      </rPr>
      <t xml:space="preserve"> x (t</t>
    </r>
    <r>
      <rPr>
        <b/>
        <vertAlign val="subscript"/>
        <sz val="8"/>
        <rFont val="Arial CE"/>
        <charset val="238"/>
      </rPr>
      <t>i</t>
    </r>
    <r>
      <rPr>
        <b/>
        <sz val="8"/>
        <rFont val="Arial CE"/>
        <charset val="238"/>
      </rPr>
      <t xml:space="preserve"> - t</t>
    </r>
    <r>
      <rPr>
        <b/>
        <vertAlign val="subscript"/>
        <sz val="8"/>
        <rFont val="Arial CE"/>
        <charset val="238"/>
      </rPr>
      <t>e</t>
    </r>
    <r>
      <rPr>
        <b/>
        <sz val="8"/>
        <rFont val="Arial CE"/>
        <charset val="238"/>
      </rPr>
      <t>)</t>
    </r>
  </si>
  <si>
    <r>
      <t>V</t>
    </r>
    <r>
      <rPr>
        <vertAlign val="subscript"/>
        <sz val="8"/>
        <rFont val="Arial CE"/>
        <charset val="238"/>
      </rPr>
      <t>v</t>
    </r>
  </si>
  <si>
    <r>
      <t>c</t>
    </r>
    <r>
      <rPr>
        <vertAlign val="subscript"/>
        <sz val="8"/>
        <rFont val="Arial CE"/>
        <charset val="238"/>
      </rPr>
      <t>v</t>
    </r>
  </si>
  <si>
    <t>Objemový tok větracícho vzduchu</t>
  </si>
  <si>
    <t>-</t>
  </si>
  <si>
    <r>
      <t>Objemová tepelná kapacita vzduchu při 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 = 1300</t>
    </r>
  </si>
  <si>
    <r>
      <t>V</t>
    </r>
    <r>
      <rPr>
        <vertAlign val="subscript"/>
        <sz val="8"/>
        <rFont val="Arial CE"/>
        <charset val="238"/>
      </rPr>
      <t>v</t>
    </r>
    <r>
      <rPr>
        <sz val="8"/>
        <rFont val="Arial CE"/>
        <charset val="238"/>
      </rPr>
      <t xml:space="preserve"> = max (V</t>
    </r>
    <r>
      <rPr>
        <vertAlign val="subscript"/>
        <sz val="8"/>
        <rFont val="Arial CE"/>
        <charset val="238"/>
      </rPr>
      <t>vH</t>
    </r>
    <r>
      <rPr>
        <sz val="8"/>
        <rFont val="Arial CE"/>
        <charset val="238"/>
      </rPr>
      <t>;V</t>
    </r>
    <r>
      <rPr>
        <vertAlign val="subscript"/>
        <sz val="8"/>
        <rFont val="Arial CE"/>
        <charset val="238"/>
      </rPr>
      <t>vP</t>
    </r>
    <r>
      <rPr>
        <sz val="8"/>
        <rFont val="Arial CE"/>
        <charset val="238"/>
      </rPr>
      <t>)</t>
    </r>
  </si>
  <si>
    <r>
      <t>V</t>
    </r>
    <r>
      <rPr>
        <b/>
        <vertAlign val="subscript"/>
        <sz val="8"/>
        <rFont val="Arial CE"/>
        <charset val="238"/>
      </rPr>
      <t>vH</t>
    </r>
    <r>
      <rPr>
        <b/>
        <sz val="8"/>
        <rFont val="Arial CE"/>
        <charset val="238"/>
      </rPr>
      <t xml:space="preserve"> = (n</t>
    </r>
    <r>
      <rPr>
        <b/>
        <vertAlign val="subscript"/>
        <sz val="8"/>
        <rFont val="Arial CE"/>
        <charset val="238"/>
      </rPr>
      <t>h</t>
    </r>
    <r>
      <rPr>
        <b/>
        <sz val="8"/>
        <rFont val="Arial CE"/>
        <charset val="238"/>
      </rPr>
      <t xml:space="preserve"> x V</t>
    </r>
    <r>
      <rPr>
        <b/>
        <vertAlign val="subscript"/>
        <sz val="8"/>
        <rFont val="Arial CE"/>
        <charset val="238"/>
      </rPr>
      <t>m</t>
    </r>
    <r>
      <rPr>
        <b/>
        <sz val="8"/>
        <rFont val="Arial CE"/>
        <charset val="238"/>
      </rPr>
      <t>) / 3600</t>
    </r>
  </si>
  <si>
    <t>Intenzita výměny vzduchu</t>
  </si>
  <si>
    <t>obytné místnosti obytných budov</t>
  </si>
  <si>
    <t>občanské budovy a ostatní míst. obyt. budov</t>
  </si>
  <si>
    <t>ostatní budovy</t>
  </si>
  <si>
    <r>
      <t>h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</si>
  <si>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</si>
  <si>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m</t>
    </r>
    <r>
      <rPr>
        <vertAlign val="superscript"/>
        <sz val="9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</si>
  <si>
    <r>
      <t>V</t>
    </r>
    <r>
      <rPr>
        <vertAlign val="subscript"/>
        <sz val="8"/>
        <rFont val="Arial CE"/>
        <charset val="238"/>
      </rPr>
      <t>m</t>
    </r>
  </si>
  <si>
    <r>
      <t>n</t>
    </r>
    <r>
      <rPr>
        <vertAlign val="subscript"/>
        <sz val="8"/>
        <rFont val="Arial CE"/>
        <charset val="238"/>
      </rPr>
      <t>h</t>
    </r>
  </si>
  <si>
    <r>
      <t>V</t>
    </r>
    <r>
      <rPr>
        <b/>
        <vertAlign val="subscript"/>
        <sz val="8"/>
        <rFont val="Arial CE"/>
        <charset val="238"/>
      </rPr>
      <t>vP</t>
    </r>
    <r>
      <rPr>
        <b/>
        <sz val="8"/>
        <rFont val="Arial CE"/>
        <charset val="238"/>
      </rPr>
      <t xml:space="preserve"> = </t>
    </r>
    <r>
      <rPr>
        <b/>
        <sz val="8"/>
        <rFont val="Calibri"/>
        <family val="2"/>
        <charset val="238"/>
      </rPr>
      <t>Σ</t>
    </r>
    <r>
      <rPr>
        <b/>
        <sz val="8"/>
        <rFont val="Arial CE"/>
        <charset val="238"/>
      </rPr>
      <t xml:space="preserve"> (i</t>
    </r>
    <r>
      <rPr>
        <b/>
        <vertAlign val="subscript"/>
        <sz val="8"/>
        <rFont val="Arial CE"/>
        <charset val="238"/>
      </rPr>
      <t>LV</t>
    </r>
    <r>
      <rPr>
        <b/>
        <sz val="8"/>
        <rFont val="Arial CE"/>
        <charset val="238"/>
      </rPr>
      <t xml:space="preserve"> x L) x B x M</t>
    </r>
  </si>
  <si>
    <r>
      <t>i</t>
    </r>
    <r>
      <rPr>
        <vertAlign val="subscript"/>
        <sz val="8"/>
        <rFont val="Arial CE"/>
        <charset val="238"/>
      </rPr>
      <t>LV</t>
    </r>
  </si>
  <si>
    <r>
      <t>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s</t>
    </r>
    <r>
      <rPr>
        <vertAlign val="superscript"/>
        <sz val="8"/>
        <rFont val="Arial CE"/>
        <charset val="238"/>
      </rPr>
      <t>-1</t>
    </r>
    <r>
      <rPr>
        <sz val="8"/>
        <rFont val="Arial CE"/>
        <charset val="238"/>
      </rPr>
      <t>/mPa</t>
    </r>
    <r>
      <rPr>
        <vertAlign val="superscript"/>
        <sz val="8"/>
        <rFont val="Arial CE"/>
        <charset val="238"/>
      </rPr>
      <t>0,67</t>
    </r>
  </si>
  <si>
    <t>L</t>
  </si>
  <si>
    <t>Charakteristické číslo budovy</t>
  </si>
  <si>
    <t>Charakteristické číslo místnosti</t>
  </si>
  <si>
    <r>
      <t>Pa</t>
    </r>
    <r>
      <rPr>
        <vertAlign val="superscript"/>
        <sz val="8"/>
        <rFont val="Arial CE"/>
        <charset val="238"/>
      </rPr>
      <t>0,67</t>
    </r>
  </si>
  <si>
    <t>součinitel spárové průvzdušnosti oken a venkovních dveří = 0,00019 (resp. v ČSN 73 0540 nebo výrobce)</t>
  </si>
  <si>
    <t>Délka spar otevíravých částí oken a venkovních dveří</t>
  </si>
  <si>
    <t>Krajinná oblast se zřetelem k intevzitě větru</t>
  </si>
  <si>
    <t>Poloha budovy v krajině</t>
  </si>
  <si>
    <t>Rychlost větru w [m/s]</t>
  </si>
  <si>
    <t>Řadové budovy</t>
  </si>
  <si>
    <t>Osaměle stojící budovy</t>
  </si>
  <si>
    <r>
      <t>Charakteristické číslo budovy B [Pa</t>
    </r>
    <r>
      <rPr>
        <vertAlign val="superscript"/>
        <sz val="8"/>
        <rFont val="Arial CE"/>
        <charset val="238"/>
      </rPr>
      <t>0,67</t>
    </r>
    <r>
      <rPr>
        <sz val="8"/>
        <rFont val="Arial CE"/>
        <charset val="238"/>
      </rPr>
      <t>]</t>
    </r>
  </si>
  <si>
    <t>Normální krajina</t>
  </si>
  <si>
    <t>Krajina s intenzivními větry</t>
  </si>
  <si>
    <t>chráněná</t>
  </si>
  <si>
    <t>nechráněná</t>
  </si>
  <si>
    <t>velmi nepříznivá</t>
  </si>
  <si>
    <t>Uvažuje se dle těsnosti vnitřních dveří, M = 0,4, 0,5 nebo 0,7. Nejlépe uvažovat s nejhorší hodnotou tj. M = 0,7</t>
  </si>
  <si>
    <t>Pro místnosti bez vnitřních dveří (sály, tělocvičny, velkoplošné kanceláře, apod.) je M = 1,0</t>
  </si>
  <si>
    <r>
      <t>Havlíčkův Brod: t</t>
    </r>
    <r>
      <rPr>
        <vertAlign val="subscript"/>
        <sz val="8"/>
        <rFont val="Arial CE"/>
        <charset val="238"/>
      </rPr>
      <t>e</t>
    </r>
    <r>
      <rPr>
        <sz val="8"/>
        <rFont val="Arial CE"/>
        <charset val="238"/>
      </rPr>
      <t xml:space="preserve"> = -15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>C</t>
    </r>
  </si>
  <si>
    <r>
      <t>m</t>
    </r>
    <r>
      <rPr>
        <vertAlign val="superscript"/>
        <sz val="8"/>
        <rFont val="Arial CE"/>
        <charset val="238"/>
      </rPr>
      <t>2</t>
    </r>
  </si>
  <si>
    <r>
      <t>Wm</t>
    </r>
    <r>
      <rPr>
        <vertAlign val="superscript"/>
        <sz val="8"/>
        <rFont val="Arial CE"/>
        <charset val="238"/>
      </rPr>
      <t>-2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</si>
  <si>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r>
      <t>Jm</t>
    </r>
    <r>
      <rPr>
        <vertAlign val="superscript"/>
        <sz val="8"/>
        <rFont val="Arial CE"/>
        <charset val="238"/>
      </rPr>
      <t>-3</t>
    </r>
    <r>
      <rPr>
        <sz val="8"/>
        <rFont val="Arial CE"/>
        <charset val="238"/>
      </rPr>
      <t>K</t>
    </r>
    <r>
      <rPr>
        <vertAlign val="superscript"/>
        <sz val="8"/>
        <rFont val="Arial CE"/>
        <charset val="238"/>
      </rPr>
      <t>-1</t>
    </r>
  </si>
  <si>
    <t>Konstrukce</t>
  </si>
  <si>
    <r>
      <t>Q</t>
    </r>
    <r>
      <rPr>
        <b/>
        <vertAlign val="subscript"/>
        <sz val="8"/>
        <rFont val="Arial"/>
        <family val="2"/>
        <charset val="238"/>
      </rPr>
      <t>0</t>
    </r>
    <r>
      <rPr>
        <b/>
        <sz val="8"/>
        <rFont val="Arial"/>
        <family val="2"/>
        <charset val="238"/>
      </rPr>
      <t xml:space="preserve"> = U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1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e1</t>
    </r>
    <r>
      <rPr>
        <b/>
        <sz val="8"/>
        <rFont val="Arial"/>
        <family val="2"/>
        <charset val="238"/>
      </rPr>
      <t>) + U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2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e2</t>
    </r>
    <r>
      <rPr>
        <b/>
        <sz val="8"/>
        <rFont val="Arial"/>
        <family val="2"/>
        <charset val="238"/>
      </rPr>
      <t>) + … + U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n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en</t>
    </r>
    <r>
      <rPr>
        <b/>
        <sz val="8"/>
        <rFont val="Arial"/>
        <family val="2"/>
        <charset val="238"/>
      </rPr>
      <t xml:space="preserve">) = </t>
    </r>
    <r>
      <rPr>
        <b/>
        <sz val="12"/>
        <rFont val="Arial"/>
        <family val="2"/>
        <charset val="238"/>
      </rPr>
      <t xml:space="preserve">Σ </t>
    </r>
    <r>
      <rPr>
        <b/>
        <sz val="8"/>
        <rFont val="Arial"/>
        <family val="2"/>
        <charset val="238"/>
      </rPr>
      <t>U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S</t>
    </r>
    <r>
      <rPr>
        <b/>
        <vertAlign val="subscript"/>
        <sz val="8"/>
        <rFont val="Arial"/>
        <family val="2"/>
        <charset val="238"/>
      </rPr>
      <t xml:space="preserve">j </t>
    </r>
    <r>
      <rPr>
        <b/>
        <sz val="8"/>
        <rFont val="Arial"/>
        <family val="2"/>
        <charset val="238"/>
      </rPr>
      <t>x (t</t>
    </r>
    <r>
      <rPr>
        <b/>
        <vertAlign val="subscript"/>
        <sz val="8"/>
        <rFont val="Arial"/>
        <family val="2"/>
        <charset val="238"/>
      </rPr>
      <t>i</t>
    </r>
    <r>
      <rPr>
        <b/>
        <sz val="8"/>
        <rFont val="Arial"/>
        <family val="2"/>
        <charset val="238"/>
      </rPr>
      <t>-t</t>
    </r>
    <r>
      <rPr>
        <b/>
        <vertAlign val="subscript"/>
        <sz val="8"/>
        <rFont val="Arial"/>
        <family val="2"/>
        <charset val="238"/>
      </rPr>
      <t>ej</t>
    </r>
    <r>
      <rPr>
        <b/>
        <sz val="8"/>
        <rFont val="Arial"/>
        <family val="2"/>
        <charset val="238"/>
      </rPr>
      <t>)</t>
    </r>
  </si>
  <si>
    <t>5.9.1.2012</t>
  </si>
  <si>
    <r>
      <t>1.14 Společenská místnost,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</si>
  <si>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1.15 Kuchyňka,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</si>
  <si>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1.16 Chodba 3.,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</si>
  <si>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Nocležna</t>
  </si>
  <si>
    <t>Sprcha</t>
  </si>
  <si>
    <t>VK 22 1200x500</t>
  </si>
  <si>
    <r>
      <t>1.08 Šatna 1.,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</si>
  <si>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SN7</t>
  </si>
  <si>
    <r>
      <t>1.09 Sušárna 1., ti=20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</si>
  <si>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1.10 Sprcha, ti=24,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</si>
  <si>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1.11 Chodba, ti=15,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</si>
  <si>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1.12 WC muži,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</si>
  <si>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1.13 Nocležna, ti=20,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</si>
  <si>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1.08</t>
  </si>
  <si>
    <t>1.09</t>
  </si>
  <si>
    <t>1.18</t>
  </si>
  <si>
    <t>Sušárna</t>
  </si>
  <si>
    <t>Chodba</t>
  </si>
  <si>
    <t>Sklad ručního nářadí</t>
  </si>
  <si>
    <t>Sklad drobného nářadí</t>
  </si>
  <si>
    <r>
      <t>1.18 Sklad drobného nářadí ti=10,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</si>
  <si>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r>
      <t>1.17 Sklad ručního nářadí, ti=10,</t>
    </r>
    <r>
      <rPr>
        <b/>
        <sz val="8"/>
        <rFont val="Calibri"/>
        <family val="2"/>
        <charset val="238"/>
      </rPr>
      <t>°</t>
    </r>
    <r>
      <rPr>
        <b/>
        <sz val="8"/>
        <rFont val="Arial CE"/>
        <charset val="238"/>
      </rPr>
      <t>C</t>
    </r>
  </si>
  <si>
    <t>Garáže</t>
  </si>
  <si>
    <t>Obytná část</t>
  </si>
  <si>
    <t>výška stropu obytná</t>
  </si>
  <si>
    <t>výška stropu garáže</t>
  </si>
  <si>
    <t>VK 22 1100x600</t>
  </si>
  <si>
    <t>KRM 1820.600</t>
  </si>
  <si>
    <t>VK 22 1100x500</t>
  </si>
  <si>
    <t>VK 11 900x500</t>
  </si>
  <si>
    <t>VK 11 1100x500</t>
  </si>
  <si>
    <t>Kotel ROJEK TKA 25</t>
  </si>
  <si>
    <t>Stávající stav</t>
  </si>
  <si>
    <t>Nová okna</t>
  </si>
  <si>
    <t>SDK podhled</t>
  </si>
  <si>
    <t>Obytná část + garáže</t>
  </si>
  <si>
    <t>Okna + SDK podhled</t>
  </si>
  <si>
    <t>Kotelna</t>
  </si>
  <si>
    <t>Vytápění původní cena</t>
  </si>
  <si>
    <t>teplovod</t>
  </si>
  <si>
    <t>Úspora na vytápění</t>
  </si>
  <si>
    <t>Návratnost investice</t>
  </si>
  <si>
    <t>KOTELNA + OBYTNÁ ČÁST</t>
  </si>
  <si>
    <t>TEPLOVOD + OBYTNÁ ČÁST</t>
  </si>
  <si>
    <t>Původní cena za vytápění</t>
  </si>
  <si>
    <t>kč/rok</t>
  </si>
  <si>
    <t>kotelna</t>
  </si>
  <si>
    <t>KOTELNA + GARÁŽE</t>
  </si>
  <si>
    <t>TEPLOVOD + GARÁŽE</t>
  </si>
  <si>
    <t>Kotelna + Rozvody</t>
  </si>
  <si>
    <t>Teplovod + Rozvody</t>
  </si>
  <si>
    <t>KOTELNA - OBYTNÁ ČÁST + GARÁŽE</t>
  </si>
  <si>
    <t>TEPLOVOD - OBYTNÁ ČÁST + GARÁŽE</t>
  </si>
  <si>
    <t>cena/m.j.</t>
  </si>
  <si>
    <t>počet m.j.</t>
  </si>
  <si>
    <t>celkem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</si>
</sst>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"/>
  </numFmts>
  <fonts count="2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Calibri"/>
      <family val="2"/>
      <charset val="238"/>
    </font>
    <font>
      <vertAlign val="subscript"/>
      <sz val="8"/>
      <name val="Arial CE"/>
      <charset val="238"/>
    </font>
    <font>
      <sz val="8"/>
      <name val="Arial CE"/>
      <charset val="238"/>
    </font>
    <font>
      <sz val="8"/>
      <name val="Calibri"/>
      <family val="2"/>
      <charset val="238"/>
    </font>
    <font>
      <b/>
      <sz val="10"/>
      <name val="Arial CE"/>
      <charset val="238"/>
    </font>
    <font>
      <b/>
      <vertAlign val="subscript"/>
      <sz val="8"/>
      <name val="Arial CE"/>
      <charset val="238"/>
    </font>
    <font>
      <b/>
      <sz val="10"/>
      <color rgb="FFFF0000"/>
      <name val="Arial CE"/>
      <charset val="238"/>
    </font>
    <font>
      <u/>
      <sz val="10"/>
      <name val="Arial CE"/>
      <family val="2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b/>
      <sz val="8"/>
      <name val="Arial"/>
      <family val="2"/>
      <charset val="238"/>
    </font>
    <font>
      <b/>
      <vertAlign val="subscript"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33" xfId="0" applyNumberFormat="1" applyFont="1" applyBorder="1" applyAlignment="1">
      <alignment horizontal="center"/>
    </xf>
    <xf numFmtId="0" fontId="1" fillId="0" borderId="30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1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2" borderId="0" xfId="0" applyNumberFormat="1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2" borderId="50" xfId="0" applyFont="1" applyFill="1" applyBorder="1" applyAlignment="1">
      <alignment horizontal="center"/>
    </xf>
    <xf numFmtId="0" fontId="1" fillId="2" borderId="51" xfId="0" applyFont="1" applyFill="1" applyBorder="1" applyAlignment="1">
      <alignment horizontal="center"/>
    </xf>
    <xf numFmtId="0" fontId="1" fillId="2" borderId="52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/>
    <xf numFmtId="0" fontId="3" fillId="0" borderId="0" xfId="0" applyFont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3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1" fillId="0" borderId="55" xfId="0" applyNumberFormat="1" applyFont="1" applyBorder="1" applyAlignment="1">
      <alignment horizontal="center"/>
    </xf>
    <xf numFmtId="0" fontId="1" fillId="0" borderId="56" xfId="0" applyNumberFormat="1" applyFont="1" applyBorder="1" applyAlignment="1">
      <alignment horizontal="center"/>
    </xf>
    <xf numFmtId="49" fontId="1" fillId="0" borderId="58" xfId="0" applyNumberFormat="1" applyFont="1" applyBorder="1" applyAlignment="1">
      <alignment horizontal="center"/>
    </xf>
    <xf numFmtId="0" fontId="1" fillId="0" borderId="59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/>
    </xf>
    <xf numFmtId="0" fontId="6" fillId="0" borderId="63" xfId="0" applyNumberFormat="1" applyFont="1" applyBorder="1" applyAlignment="1">
      <alignment horizontal="center"/>
    </xf>
    <xf numFmtId="0" fontId="6" fillId="0" borderId="57" xfId="0" applyNumberFormat="1" applyFont="1" applyBorder="1" applyAlignment="1">
      <alignment horizontal="center"/>
    </xf>
    <xf numFmtId="0" fontId="6" fillId="0" borderId="60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vertical="center"/>
    </xf>
    <xf numFmtId="3" fontId="0" fillId="0" borderId="0" xfId="0" applyNumberFormat="1"/>
    <xf numFmtId="3" fontId="8" fillId="0" borderId="0" xfId="0" applyNumberFormat="1" applyFont="1"/>
    <xf numFmtId="3" fontId="3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0" fontId="8" fillId="0" borderId="54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56" xfId="0" applyBorder="1"/>
    <xf numFmtId="3" fontId="0" fillId="0" borderId="56" xfId="0" applyNumberFormat="1" applyBorder="1"/>
    <xf numFmtId="3" fontId="0" fillId="0" borderId="57" xfId="0" applyNumberFormat="1" applyBorder="1"/>
    <xf numFmtId="0" fontId="0" fillId="0" borderId="56" xfId="0" applyFill="1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59" xfId="0" applyBorder="1"/>
    <xf numFmtId="3" fontId="0" fillId="0" borderId="59" xfId="0" applyNumberFormat="1" applyBorder="1"/>
    <xf numFmtId="3" fontId="0" fillId="0" borderId="60" xfId="0" applyNumberFormat="1" applyBorder="1"/>
    <xf numFmtId="0" fontId="0" fillId="0" borderId="62" xfId="0" applyBorder="1" applyAlignment="1">
      <alignment horizontal="center"/>
    </xf>
    <xf numFmtId="0" fontId="0" fillId="0" borderId="62" xfId="0" applyBorder="1"/>
    <xf numFmtId="3" fontId="0" fillId="0" borderId="62" xfId="0" applyNumberFormat="1" applyBorder="1"/>
    <xf numFmtId="3" fontId="0" fillId="0" borderId="63" xfId="0" applyNumberFormat="1" applyBorder="1"/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3" fontId="8" fillId="0" borderId="5" xfId="0" applyNumberFormat="1" applyFont="1" applyBorder="1"/>
    <xf numFmtId="0" fontId="0" fillId="0" borderId="59" xfId="0" applyFill="1" applyBorder="1" applyAlignment="1">
      <alignment horizontal="center" vertical="center"/>
    </xf>
    <xf numFmtId="0" fontId="0" fillId="0" borderId="59" xfId="0" applyBorder="1" applyAlignment="1">
      <alignment horizontal="right" vertical="center"/>
    </xf>
    <xf numFmtId="3" fontId="0" fillId="0" borderId="59" xfId="0" applyNumberFormat="1" applyBorder="1" applyAlignment="1">
      <alignment horizontal="right" vertical="center"/>
    </xf>
    <xf numFmtId="3" fontId="0" fillId="0" borderId="59" xfId="0" applyNumberFormat="1" applyBorder="1" applyAlignment="1">
      <alignment vertical="center"/>
    </xf>
    <xf numFmtId="3" fontId="0" fillId="0" borderId="60" xfId="0" applyNumberFormat="1" applyBorder="1" applyAlignment="1">
      <alignment vertical="center"/>
    </xf>
    <xf numFmtId="3" fontId="0" fillId="0" borderId="56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3" fontId="0" fillId="0" borderId="62" xfId="0" applyNumberFormat="1" applyBorder="1" applyAlignment="1">
      <alignment horizontal="center"/>
    </xf>
    <xf numFmtId="0" fontId="0" fillId="0" borderId="63" xfId="0" applyBorder="1"/>
    <xf numFmtId="0" fontId="0" fillId="0" borderId="74" xfId="0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10" fillId="2" borderId="75" xfId="0" applyFont="1" applyFill="1" applyBorder="1" applyAlignment="1">
      <alignment horizontal="center" vertical="center"/>
    </xf>
    <xf numFmtId="0" fontId="10" fillId="2" borderId="7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wrapText="1"/>
    </xf>
    <xf numFmtId="0" fontId="6" fillId="0" borderId="79" xfId="0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1" fillId="0" borderId="61" xfId="0" applyNumberFormat="1" applyFont="1" applyBorder="1" applyAlignment="1">
      <alignment horizontal="center" vertical="center"/>
    </xf>
    <xf numFmtId="0" fontId="1" fillId="0" borderId="56" xfId="0" applyNumberFormat="1" applyFont="1" applyBorder="1" applyAlignment="1">
      <alignment horizontal="center" vertical="center"/>
    </xf>
    <xf numFmtId="49" fontId="1" fillId="0" borderId="5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57" xfId="0" applyNumberFormat="1" applyFont="1" applyFill="1" applyBorder="1" applyAlignment="1">
      <alignment horizontal="center"/>
    </xf>
    <xf numFmtId="0" fontId="0" fillId="0" borderId="60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54" xfId="0" applyNumberFormat="1" applyFill="1" applyBorder="1" applyAlignment="1">
      <alignment horizontal="center"/>
    </xf>
    <xf numFmtId="0" fontId="0" fillId="0" borderId="54" xfId="0" applyBorder="1"/>
    <xf numFmtId="3" fontId="0" fillId="0" borderId="54" xfId="0" applyNumberFormat="1" applyBorder="1"/>
    <xf numFmtId="3" fontId="0" fillId="0" borderId="56" xfId="0" applyNumberFormat="1" applyFill="1" applyBorder="1" applyAlignment="1">
      <alignment horizontal="center"/>
    </xf>
    <xf numFmtId="3" fontId="0" fillId="0" borderId="59" xfId="0" applyNumberFormat="1" applyFill="1" applyBorder="1" applyAlignment="1">
      <alignment horizontal="center"/>
    </xf>
    <xf numFmtId="3" fontId="0" fillId="0" borderId="64" xfId="0" applyNumberFormat="1" applyBorder="1"/>
    <xf numFmtId="3" fontId="0" fillId="0" borderId="77" xfId="0" applyNumberFormat="1" applyBorder="1"/>
    <xf numFmtId="3" fontId="0" fillId="0" borderId="72" xfId="0" applyNumberFormat="1" applyBorder="1"/>
    <xf numFmtId="3" fontId="0" fillId="0" borderId="68" xfId="0" applyNumberFormat="1" applyBorder="1"/>
    <xf numFmtId="165" fontId="0" fillId="0" borderId="0" xfId="0" applyNumberFormat="1" applyAlignment="1">
      <alignment horizontal="center"/>
    </xf>
    <xf numFmtId="0" fontId="0" fillId="0" borderId="0" xfId="0" applyFill="1" applyBorder="1" applyAlignment="1"/>
    <xf numFmtId="165" fontId="0" fillId="0" borderId="57" xfId="0" applyNumberFormat="1" applyBorder="1" applyAlignment="1">
      <alignment horizontal="center" vertical="center"/>
    </xf>
    <xf numFmtId="165" fontId="0" fillId="0" borderId="60" xfId="0" applyNumberFormat="1" applyBorder="1" applyAlignment="1">
      <alignment horizontal="center" vertical="center"/>
    </xf>
    <xf numFmtId="3" fontId="0" fillId="0" borderId="59" xfId="0" applyNumberFormat="1" applyBorder="1" applyAlignment="1">
      <alignment horizontal="center" vertical="center" wrapText="1"/>
    </xf>
    <xf numFmtId="3" fontId="0" fillId="0" borderId="0" xfId="0" applyNumberFormat="1" applyBorder="1"/>
    <xf numFmtId="0" fontId="0" fillId="0" borderId="0" xfId="0" applyBorder="1" applyAlignment="1">
      <alignment vertical="center" textRotation="90"/>
    </xf>
    <xf numFmtId="3" fontId="10" fillId="0" borderId="0" xfId="0" applyNumberFormat="1" applyFont="1" applyBorder="1"/>
    <xf numFmtId="3" fontId="0" fillId="0" borderId="57" xfId="0" applyNumberFormat="1" applyBorder="1" applyAlignment="1">
      <alignment horizontal="center"/>
    </xf>
    <xf numFmtId="3" fontId="0" fillId="0" borderId="60" xfId="0" applyNumberFormat="1" applyBorder="1" applyAlignment="1">
      <alignment horizontal="center"/>
    </xf>
    <xf numFmtId="3" fontId="0" fillId="0" borderId="62" xfId="0" applyNumberFormat="1" applyFill="1" applyBorder="1" applyAlignment="1">
      <alignment horizontal="center"/>
    </xf>
    <xf numFmtId="3" fontId="0" fillId="0" borderId="63" xfId="0" applyNumberFormat="1" applyBorder="1" applyAlignment="1">
      <alignment horizontal="center"/>
    </xf>
    <xf numFmtId="3" fontId="0" fillId="0" borderId="70" xfId="0" applyNumberFormat="1" applyFill="1" applyBorder="1" applyAlignment="1">
      <alignment horizontal="center"/>
    </xf>
    <xf numFmtId="0" fontId="0" fillId="0" borderId="70" xfId="0" applyBorder="1"/>
    <xf numFmtId="3" fontId="0" fillId="0" borderId="71" xfId="0" applyNumberFormat="1" applyBorder="1" applyAlignment="1">
      <alignment horizontal="center"/>
    </xf>
    <xf numFmtId="0" fontId="6" fillId="0" borderId="0" xfId="0" applyFont="1" applyAlignment="1"/>
    <xf numFmtId="0" fontId="1" fillId="0" borderId="56" xfId="0" applyNumberFormat="1" applyFont="1" applyBorder="1" applyAlignment="1">
      <alignment horizontal="center" vertical="center"/>
    </xf>
    <xf numFmtId="0" fontId="1" fillId="0" borderId="56" xfId="0" applyNumberFormat="1" applyFont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0" fillId="0" borderId="56" xfId="0" applyBorder="1" applyAlignment="1"/>
    <xf numFmtId="0" fontId="1" fillId="0" borderId="0" xfId="0" applyFont="1" applyBorder="1" applyAlignment="1">
      <alignment horizontal="left"/>
    </xf>
    <xf numFmtId="0" fontId="0" fillId="0" borderId="0" xfId="0" applyAlignment="1"/>
    <xf numFmtId="3" fontId="3" fillId="0" borderId="67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1" fontId="1" fillId="0" borderId="5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14" fontId="6" fillId="0" borderId="0" xfId="0" applyNumberFormat="1" applyFont="1" applyBorder="1" applyAlignment="1">
      <alignment horizontal="right" wrapText="1"/>
    </xf>
    <xf numFmtId="0" fontId="6" fillId="0" borderId="61" xfId="0" applyFont="1" applyBorder="1" applyAlignment="1">
      <alignment vertical="center" wrapText="1"/>
    </xf>
    <xf numFmtId="0" fontId="6" fillId="0" borderId="62" xfId="0" applyFont="1" applyBorder="1" applyAlignment="1">
      <alignment vertical="center" wrapText="1"/>
    </xf>
    <xf numFmtId="0" fontId="6" fillId="0" borderId="55" xfId="0" applyFont="1" applyBorder="1" applyAlignment="1">
      <alignment vertical="center" wrapText="1"/>
    </xf>
    <xf numFmtId="0" fontId="6" fillId="0" borderId="56" xfId="0" applyFont="1" applyBorder="1" applyAlignment="1">
      <alignment vertical="center" wrapText="1"/>
    </xf>
    <xf numFmtId="0" fontId="6" fillId="0" borderId="58" xfId="0" applyFont="1" applyBorder="1" applyAlignment="1">
      <alignment vertical="center" wrapText="1"/>
    </xf>
    <xf numFmtId="0" fontId="6" fillId="0" borderId="59" xfId="0" applyFont="1" applyBorder="1" applyAlignment="1">
      <alignment vertical="center" wrapText="1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59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6" fillId="0" borderId="53" xfId="0" applyFont="1" applyBorder="1" applyAlignment="1">
      <alignment horizontal="center" vertical="center" wrapText="1"/>
    </xf>
    <xf numFmtId="0" fontId="0" fillId="0" borderId="58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horizontal="left" shrinkToFi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left" wrapText="1"/>
    </xf>
    <xf numFmtId="49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/>
    <xf numFmtId="0" fontId="6" fillId="0" borderId="0" xfId="0" applyFont="1" applyAlignment="1">
      <alignment shrinkToFit="1"/>
    </xf>
    <xf numFmtId="0" fontId="0" fillId="0" borderId="0" xfId="0" applyAlignment="1">
      <alignment shrinkToFit="1"/>
    </xf>
    <xf numFmtId="0" fontId="6" fillId="0" borderId="55" xfId="0" applyFont="1" applyBorder="1" applyAlignment="1">
      <alignment horizontal="center" shrinkToFit="1"/>
    </xf>
    <xf numFmtId="0" fontId="6" fillId="0" borderId="56" xfId="0" applyFont="1" applyBorder="1" applyAlignment="1">
      <alignment horizontal="center" shrinkToFit="1"/>
    </xf>
    <xf numFmtId="0" fontId="6" fillId="0" borderId="56" xfId="0" applyFont="1" applyFill="1" applyBorder="1" applyAlignment="1">
      <alignment horizontal="center"/>
    </xf>
    <xf numFmtId="0" fontId="6" fillId="0" borderId="57" xfId="0" applyFont="1" applyFill="1" applyBorder="1" applyAlignment="1">
      <alignment horizontal="center"/>
    </xf>
    <xf numFmtId="0" fontId="6" fillId="0" borderId="58" xfId="0" applyFont="1" applyBorder="1" applyAlignment="1">
      <alignment horizontal="center" shrinkToFit="1"/>
    </xf>
    <xf numFmtId="0" fontId="6" fillId="0" borderId="59" xfId="0" applyFont="1" applyBorder="1" applyAlignment="1">
      <alignment horizontal="center" shrinkToFit="1"/>
    </xf>
    <xf numFmtId="0" fontId="6" fillId="0" borderId="59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applyFont="1" applyAlignment="1"/>
    <xf numFmtId="0" fontId="3" fillId="0" borderId="0" xfId="0" applyFont="1" applyBorder="1" applyAlignment="1">
      <alignment horizontal="left"/>
    </xf>
    <xf numFmtId="0" fontId="8" fillId="0" borderId="0" xfId="0" applyFont="1" applyAlignment="1"/>
    <xf numFmtId="0" fontId="6" fillId="0" borderId="69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71" xfId="0" applyFont="1" applyBorder="1" applyAlignment="1">
      <alignment horizontal="center"/>
    </xf>
    <xf numFmtId="0" fontId="6" fillId="0" borderId="61" xfId="0" applyFont="1" applyBorder="1" applyAlignment="1">
      <alignment horizontal="center" shrinkToFit="1"/>
    </xf>
    <xf numFmtId="0" fontId="6" fillId="0" borderId="62" xfId="0" applyFont="1" applyBorder="1" applyAlignment="1">
      <alignment horizontal="center" shrinkToFit="1"/>
    </xf>
    <xf numFmtId="0" fontId="6" fillId="0" borderId="62" xfId="0" applyFont="1" applyFill="1" applyBorder="1" applyAlignment="1">
      <alignment horizontal="center"/>
    </xf>
    <xf numFmtId="0" fontId="6" fillId="0" borderId="63" xfId="0" applyFont="1" applyFill="1" applyBorder="1" applyAlignment="1">
      <alignment horizontal="center"/>
    </xf>
    <xf numFmtId="0" fontId="1" fillId="0" borderId="56" xfId="0" applyFont="1" applyBorder="1" applyAlignment="1">
      <alignment horizontal="left" vertical="center"/>
    </xf>
    <xf numFmtId="0" fontId="1" fillId="0" borderId="3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59" xfId="0" applyNumberFormat="1" applyFont="1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/>
    </xf>
    <xf numFmtId="0" fontId="1" fillId="0" borderId="54" xfId="0" applyNumberFormat="1" applyFont="1" applyBorder="1" applyAlignment="1">
      <alignment horizontal="center" vertical="center" wrapText="1"/>
    </xf>
    <xf numFmtId="0" fontId="1" fillId="0" borderId="59" xfId="0" applyNumberFormat="1" applyFont="1" applyBorder="1" applyAlignment="1">
      <alignment horizontal="center" vertical="center" wrapText="1"/>
    </xf>
    <xf numFmtId="0" fontId="1" fillId="0" borderId="54" xfId="0" applyFont="1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0" fillId="0" borderId="59" xfId="0" applyBorder="1" applyAlignment="1">
      <alignment vertic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21" xfId="0" applyNumberFormat="1" applyFont="1" applyBorder="1" applyAlignment="1">
      <alignment horizontal="center"/>
    </xf>
    <xf numFmtId="0" fontId="1" fillId="0" borderId="48" xfId="0" applyNumberFormat="1" applyFont="1" applyBorder="1" applyAlignment="1">
      <alignment horizontal="center"/>
    </xf>
    <xf numFmtId="0" fontId="1" fillId="0" borderId="64" xfId="0" applyNumberFormat="1" applyFont="1" applyBorder="1" applyAlignment="1">
      <alignment horizontal="center" vertical="center"/>
    </xf>
    <xf numFmtId="0" fontId="1" fillId="0" borderId="65" xfId="0" applyNumberFormat="1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62" xfId="0" applyFont="1" applyBorder="1" applyAlignment="1">
      <alignment horizontal="left" vertical="center"/>
    </xf>
    <xf numFmtId="1" fontId="1" fillId="0" borderId="62" xfId="0" applyNumberFormat="1" applyFont="1" applyBorder="1" applyAlignment="1">
      <alignment horizontal="center" vertical="center"/>
    </xf>
    <xf numFmtId="0" fontId="1" fillId="0" borderId="62" xfId="0" applyNumberFormat="1" applyFont="1" applyBorder="1" applyAlignment="1">
      <alignment horizontal="center"/>
    </xf>
    <xf numFmtId="0" fontId="1" fillId="0" borderId="62" xfId="0" applyNumberFormat="1" applyFont="1" applyBorder="1" applyAlignment="1">
      <alignment horizontal="center" vertical="center"/>
    </xf>
    <xf numFmtId="0" fontId="1" fillId="0" borderId="59" xfId="0" applyFont="1" applyBorder="1" applyAlignment="1">
      <alignment horizontal="left"/>
    </xf>
    <xf numFmtId="0" fontId="0" fillId="0" borderId="59" xfId="0" applyBorder="1" applyAlignment="1"/>
    <xf numFmtId="1" fontId="1" fillId="0" borderId="59" xfId="0" applyNumberFormat="1" applyFont="1" applyBorder="1" applyAlignment="1">
      <alignment horizontal="center" vertical="center"/>
    </xf>
    <xf numFmtId="0" fontId="1" fillId="0" borderId="59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" fillId="0" borderId="53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0" fillId="0" borderId="58" xfId="0" applyFill="1" applyBorder="1" applyAlignment="1"/>
    <xf numFmtId="0" fontId="0" fillId="0" borderId="59" xfId="0" applyFill="1" applyBorder="1" applyAlignment="1"/>
    <xf numFmtId="0" fontId="0" fillId="0" borderId="61" xfId="0" applyBorder="1" applyAlignment="1"/>
    <xf numFmtId="0" fontId="0" fillId="0" borderId="62" xfId="0" applyBorder="1" applyAlignment="1"/>
    <xf numFmtId="0" fontId="0" fillId="0" borderId="55" xfId="0" applyBorder="1" applyAlignment="1"/>
    <xf numFmtId="0" fontId="0" fillId="0" borderId="69" xfId="0" applyFill="1" applyBorder="1" applyAlignment="1"/>
    <xf numFmtId="0" fontId="0" fillId="0" borderId="70" xfId="0" applyFill="1" applyBorder="1" applyAlignment="1"/>
    <xf numFmtId="0" fontId="0" fillId="0" borderId="88" xfId="0" applyFill="1" applyBorder="1" applyAlignment="1"/>
    <xf numFmtId="0" fontId="0" fillId="0" borderId="89" xfId="0" applyBorder="1" applyAlignment="1"/>
    <xf numFmtId="0" fontId="0" fillId="0" borderId="73" xfId="0" applyBorder="1" applyAlignment="1"/>
    <xf numFmtId="0" fontId="8" fillId="0" borderId="53" xfId="0" applyFont="1" applyFill="1" applyBorder="1" applyAlignment="1">
      <alignment horizontal="center"/>
    </xf>
    <xf numFmtId="0" fontId="8" fillId="0" borderId="54" xfId="0" applyFont="1" applyBorder="1" applyAlignment="1">
      <alignment horizontal="center"/>
    </xf>
    <xf numFmtId="0" fontId="8" fillId="0" borderId="68" xfId="0" applyFont="1" applyBorder="1" applyAlignment="1">
      <alignment horizontal="center"/>
    </xf>
    <xf numFmtId="0" fontId="0" fillId="0" borderId="0" xfId="0" applyFill="1" applyBorder="1" applyAlignment="1"/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0" fillId="0" borderId="54" xfId="0" applyBorder="1" applyAlignment="1">
      <alignment horizontal="center" wrapText="1"/>
    </xf>
    <xf numFmtId="0" fontId="0" fillId="0" borderId="54" xfId="0" applyBorder="1" applyAlignment="1">
      <alignment horizontal="center" vertical="center"/>
    </xf>
    <xf numFmtId="0" fontId="0" fillId="0" borderId="64" xfId="0" applyBorder="1" applyAlignment="1">
      <alignment horizontal="center" wrapText="1"/>
    </xf>
    <xf numFmtId="0" fontId="0" fillId="0" borderId="51" xfId="0" applyBorder="1" applyAlignment="1">
      <alignment horizontal="center" vertical="center" textRotation="90" wrapText="1"/>
    </xf>
    <xf numFmtId="0" fontId="0" fillId="0" borderId="80" xfId="0" applyBorder="1" applyAlignment="1">
      <alignment horizontal="center" vertical="center" textRotation="90"/>
    </xf>
    <xf numFmtId="0" fontId="0" fillId="0" borderId="80" xfId="0" applyBorder="1" applyAlignment="1">
      <alignment vertical="center" textRotation="90"/>
    </xf>
    <xf numFmtId="0" fontId="0" fillId="0" borderId="15" xfId="0" applyBorder="1" applyAlignment="1">
      <alignment vertical="center" textRotation="90"/>
    </xf>
    <xf numFmtId="0" fontId="0" fillId="0" borderId="74" xfId="0" applyBorder="1" applyAlignment="1">
      <alignment vertical="center" wrapText="1"/>
    </xf>
    <xf numFmtId="0" fontId="0" fillId="0" borderId="86" xfId="0" applyBorder="1" applyAlignment="1">
      <alignment vertical="center" wrapText="1"/>
    </xf>
    <xf numFmtId="0" fontId="0" fillId="0" borderId="87" xfId="0" applyBorder="1" applyAlignment="1">
      <alignment vertical="center" wrapText="1"/>
    </xf>
    <xf numFmtId="0" fontId="0" fillId="0" borderId="77" xfId="0" applyBorder="1" applyAlignment="1">
      <alignment horizontal="center" vertical="center"/>
    </xf>
    <xf numFmtId="0" fontId="0" fillId="0" borderId="86" xfId="0" applyBorder="1" applyAlignment="1">
      <alignment horizontal="center"/>
    </xf>
    <xf numFmtId="0" fontId="0" fillId="0" borderId="85" xfId="0" applyBorder="1" applyAlignment="1"/>
    <xf numFmtId="0" fontId="0" fillId="0" borderId="74" xfId="0" applyBorder="1" applyAlignment="1"/>
    <xf numFmtId="0" fontId="0" fillId="0" borderId="51" xfId="0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0" fillId="0" borderId="80" xfId="0" applyBorder="1" applyAlignment="1">
      <alignment horizontal="center" vertical="center" textRotation="90" wrapText="1"/>
    </xf>
    <xf numFmtId="0" fontId="0" fillId="0" borderId="15" xfId="0" applyBorder="1" applyAlignment="1">
      <alignment horizontal="center" vertical="center" textRotation="90" wrapText="1"/>
    </xf>
    <xf numFmtId="0" fontId="0" fillId="0" borderId="43" xfId="0" applyBorder="1" applyAlignment="1"/>
    <xf numFmtId="0" fontId="0" fillId="0" borderId="56" xfId="0" applyFill="1" applyBorder="1" applyAlignment="1"/>
    <xf numFmtId="0" fontId="0" fillId="0" borderId="0" xfId="0" applyAlignment="1">
      <alignment horizontal="center"/>
    </xf>
    <xf numFmtId="0" fontId="0" fillId="0" borderId="82" xfId="0" applyBorder="1" applyAlignment="1">
      <alignment horizontal="center" vertical="center" textRotation="90" wrapText="1"/>
    </xf>
    <xf numFmtId="0" fontId="0" fillId="0" borderId="83" xfId="0" applyBorder="1" applyAlignment="1">
      <alignment horizontal="center" vertical="center" textRotation="90" wrapText="1"/>
    </xf>
    <xf numFmtId="0" fontId="0" fillId="0" borderId="73" xfId="0" applyBorder="1" applyAlignment="1">
      <alignment horizontal="center" vertical="center" textRotation="90" wrapText="1"/>
    </xf>
    <xf numFmtId="0" fontId="0" fillId="0" borderId="59" xfId="0" applyFill="1" applyBorder="1" applyAlignment="1">
      <alignment horizontal="left" vertical="center" wrapText="1"/>
    </xf>
    <xf numFmtId="0" fontId="0" fillId="0" borderId="81" xfId="0" applyBorder="1" applyAlignment="1"/>
    <xf numFmtId="0" fontId="0" fillId="0" borderId="70" xfId="0" applyBorder="1" applyAlignment="1"/>
    <xf numFmtId="0" fontId="0" fillId="0" borderId="84" xfId="0" applyBorder="1" applyAlignment="1"/>
    <xf numFmtId="0" fontId="0" fillId="0" borderId="82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73" xfId="0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Návratnost investice - obytná část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Kotelna</c:v>
          </c:tx>
          <c:dLbls>
            <c:showVal val="1"/>
          </c:dLbls>
          <c:cat>
            <c:strRef>
              <c:f>cenova_rozvaha!$A$77:$C$80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cenova_rozvaha!$H$77:$H$80</c:f>
              <c:numCache>
                <c:formatCode>0.0</c:formatCode>
                <c:ptCount val="4"/>
                <c:pt idx="0">
                  <c:v>4.6474299120401898</c:v>
                </c:pt>
                <c:pt idx="1">
                  <c:v>5.5970598548372186</c:v>
                </c:pt>
                <c:pt idx="2">
                  <c:v>5.3467158677394222</c:v>
                </c:pt>
                <c:pt idx="3">
                  <c:v>6.227083750092012</c:v>
                </c:pt>
              </c:numCache>
            </c:numRef>
          </c:val>
        </c:ser>
        <c:ser>
          <c:idx val="1"/>
          <c:order val="1"/>
          <c:tx>
            <c:v>Teplovod</c:v>
          </c:tx>
          <c:dLbls>
            <c:showVal val="1"/>
          </c:dLbls>
          <c:cat>
            <c:strRef>
              <c:f>cenova_rozvaha!$A$77:$C$80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cenova_rozvaha!$H$85:$H$88</c:f>
              <c:numCache>
                <c:formatCode>0.0</c:formatCode>
                <c:ptCount val="4"/>
                <c:pt idx="0">
                  <c:v>4.8386378486883084</c:v>
                </c:pt>
                <c:pt idx="1">
                  <c:v>5.7746791046436599</c:v>
                </c:pt>
                <c:pt idx="2">
                  <c:v>5.5412659806055808</c:v>
                </c:pt>
                <c:pt idx="3">
                  <c:v>6.4109295651989209</c:v>
                </c:pt>
              </c:numCache>
            </c:numRef>
          </c:val>
        </c:ser>
        <c:gapWidth val="75"/>
        <c:overlap val="-25"/>
        <c:axId val="69125632"/>
        <c:axId val="69127168"/>
      </c:barChart>
      <c:catAx>
        <c:axId val="69125632"/>
        <c:scaling>
          <c:orientation val="minMax"/>
        </c:scaling>
        <c:axPos val="b"/>
        <c:majorTickMark val="none"/>
        <c:tickLblPos val="nextTo"/>
        <c:crossAx val="69127168"/>
        <c:crosses val="autoZero"/>
        <c:auto val="1"/>
        <c:lblAlgn val="ctr"/>
        <c:lblOffset val="100"/>
      </c:catAx>
      <c:valAx>
        <c:axId val="69127168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6912563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Návratnost investice - garáže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Kotelna</c:v>
          </c:tx>
          <c:dLbls>
            <c:showVal val="1"/>
          </c:dLbls>
          <c:cat>
            <c:strRef>
              <c:f>cenova_rozvaha!$A$94:$C$97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cenova_rozvaha!$H$94:$H$97</c:f>
              <c:numCache>
                <c:formatCode>0.0</c:formatCode>
                <c:ptCount val="4"/>
                <c:pt idx="0">
                  <c:v>4.976032184545768</c:v>
                </c:pt>
                <c:pt idx="1">
                  <c:v>5.6898515725195802</c:v>
                </c:pt>
                <c:pt idx="2">
                  <c:v>5.2750045029058157</c:v>
                </c:pt>
                <c:pt idx="3">
                  <c:v>5.3383539464465226</c:v>
                </c:pt>
              </c:numCache>
            </c:numRef>
          </c:val>
        </c:ser>
        <c:ser>
          <c:idx val="1"/>
          <c:order val="1"/>
          <c:tx>
            <c:v>Teplovod</c:v>
          </c:tx>
          <c:dLbls>
            <c:showVal val="1"/>
          </c:dLbls>
          <c:cat>
            <c:strRef>
              <c:f>cenova_rozvaha!$A$94:$C$97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cenova_rozvaha!$H$102:$H$105</c:f>
              <c:numCache>
                <c:formatCode>0.0</c:formatCode>
                <c:ptCount val="4"/>
                <c:pt idx="0">
                  <c:v>5.1338197507894927</c:v>
                </c:pt>
                <c:pt idx="1">
                  <c:v>5.8558529557761734</c:v>
                </c:pt>
                <c:pt idx="2">
                  <c:v>5.4769544891439006</c:v>
                </c:pt>
                <c:pt idx="3">
                  <c:v>6.4474953644364694</c:v>
                </c:pt>
              </c:numCache>
            </c:numRef>
          </c:val>
        </c:ser>
        <c:gapWidth val="75"/>
        <c:overlap val="-25"/>
        <c:axId val="68714880"/>
        <c:axId val="68716416"/>
      </c:barChart>
      <c:catAx>
        <c:axId val="68714880"/>
        <c:scaling>
          <c:orientation val="minMax"/>
        </c:scaling>
        <c:axPos val="b"/>
        <c:majorTickMark val="none"/>
        <c:tickLblPos val="nextTo"/>
        <c:crossAx val="68716416"/>
        <c:crosses val="autoZero"/>
        <c:auto val="1"/>
        <c:lblAlgn val="ctr"/>
        <c:lblOffset val="100"/>
      </c:catAx>
      <c:valAx>
        <c:axId val="68716416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687148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Návratnost investice - celý objekt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Kotelna</c:v>
          </c:tx>
          <c:dLbls>
            <c:showVal val="1"/>
          </c:dLbls>
          <c:cat>
            <c:strRef>
              <c:f>cenova_rozvaha!$A$111:$C$114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cenova_rozvaha!$H$111:$H$114</c:f>
              <c:numCache>
                <c:formatCode>0.0</c:formatCode>
                <c:ptCount val="4"/>
                <c:pt idx="0">
                  <c:v>9.3548793172119478</c:v>
                </c:pt>
                <c:pt idx="1">
                  <c:v>9.2775315040411854</c:v>
                </c:pt>
                <c:pt idx="2">
                  <c:v>8.3597277147863025</c:v>
                </c:pt>
                <c:pt idx="3">
                  <c:v>9.1184021578783003</c:v>
                </c:pt>
              </c:numCache>
            </c:numRef>
          </c:val>
        </c:ser>
        <c:ser>
          <c:idx val="1"/>
          <c:order val="1"/>
          <c:tx>
            <c:v>Teplovod</c:v>
          </c:tx>
          <c:dLbls>
            <c:showVal val="1"/>
          </c:dLbls>
          <c:cat>
            <c:strRef>
              <c:f>cenova_rozvaha!$A$111:$C$114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cenova_rozvaha!$H$119:$H$122</c:f>
              <c:numCache>
                <c:formatCode>0.0</c:formatCode>
                <c:ptCount val="4"/>
                <c:pt idx="0">
                  <c:v>8.9349231243576579</c:v>
                </c:pt>
                <c:pt idx="1">
                  <c:v>9.0660597729329027</c:v>
                </c:pt>
                <c:pt idx="2">
                  <c:v>8.3068174742381053</c:v>
                </c:pt>
                <c:pt idx="3">
                  <c:v>9.0745713918387292</c:v>
                </c:pt>
              </c:numCache>
            </c:numRef>
          </c:val>
        </c:ser>
        <c:gapWidth val="75"/>
        <c:overlap val="-25"/>
        <c:axId val="68746240"/>
        <c:axId val="69477120"/>
      </c:barChart>
      <c:catAx>
        <c:axId val="68746240"/>
        <c:scaling>
          <c:orientation val="minMax"/>
        </c:scaling>
        <c:axPos val="b"/>
        <c:majorTickMark val="none"/>
        <c:tickLblPos val="nextTo"/>
        <c:crossAx val="69477120"/>
        <c:crosses val="autoZero"/>
        <c:auto val="1"/>
        <c:lblAlgn val="ctr"/>
        <c:lblOffset val="100"/>
      </c:catAx>
      <c:valAx>
        <c:axId val="69477120"/>
        <c:scaling>
          <c:orientation val="minMax"/>
        </c:scaling>
        <c:axPos val="l"/>
        <c:majorGridlines/>
        <c:numFmt formatCode="0.0" sourceLinked="1"/>
        <c:majorTickMark val="none"/>
        <c:tickLblPos val="nextTo"/>
        <c:spPr>
          <a:ln w="9525">
            <a:noFill/>
          </a:ln>
        </c:spPr>
        <c:crossAx val="6874624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barChart>
        <c:barDir val="col"/>
        <c:grouping val="clustered"/>
        <c:ser>
          <c:idx val="2"/>
          <c:order val="0"/>
          <c:tx>
            <c:v>Kotelna</c:v>
          </c:tx>
          <c:cat>
            <c:strRef>
              <c:f>grafy!$B$3:$D$6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grafy!$E$3:$E$6</c:f>
              <c:numCache>
                <c:formatCode>0.0</c:formatCode>
                <c:ptCount val="4"/>
                <c:pt idx="0">
                  <c:v>3.4328214526382594</c:v>
                </c:pt>
                <c:pt idx="1">
                  <c:v>4.4313088946708623</c:v>
                </c:pt>
                <c:pt idx="2">
                  <c:v>4.1978389000243945</c:v>
                </c:pt>
                <c:pt idx="3">
                  <c:v>8.2474648082477078</c:v>
                </c:pt>
              </c:numCache>
            </c:numRef>
          </c:val>
        </c:ser>
        <c:ser>
          <c:idx val="3"/>
          <c:order val="1"/>
          <c:tx>
            <c:v>Teplovod</c:v>
          </c:tx>
          <c:cat>
            <c:strRef>
              <c:f>grafy!$B$3:$D$6</c:f>
              <c:strCache>
                <c:ptCount val="4"/>
                <c:pt idx="0">
                  <c:v>Stávající stav</c:v>
                </c:pt>
                <c:pt idx="1">
                  <c:v>Nová okna</c:v>
                </c:pt>
                <c:pt idx="2">
                  <c:v>SDK podhled</c:v>
                </c:pt>
                <c:pt idx="3">
                  <c:v>Okna + SDK podhled</c:v>
                </c:pt>
              </c:strCache>
            </c:strRef>
          </c:cat>
          <c:val>
            <c:numRef>
              <c:f>grafy!$F$3:$F$6</c:f>
              <c:numCache>
                <c:formatCode>0.0</c:formatCode>
                <c:ptCount val="4"/>
                <c:pt idx="0">
                  <c:v>3.6596386793105835</c:v>
                </c:pt>
                <c:pt idx="1">
                  <c:v>4.6377055381260703</c:v>
                </c:pt>
                <c:pt idx="2">
                  <c:v>4.417642984365723</c:v>
                </c:pt>
                <c:pt idx="3">
                  <c:v>8.6946101234095874</c:v>
                </c:pt>
              </c:numCache>
            </c:numRef>
          </c:val>
        </c:ser>
        <c:axId val="69498368"/>
        <c:axId val="69499904"/>
      </c:barChart>
      <c:catAx>
        <c:axId val="69498368"/>
        <c:scaling>
          <c:orientation val="minMax"/>
        </c:scaling>
        <c:axPos val="b"/>
        <c:tickLblPos val="nextTo"/>
        <c:crossAx val="69499904"/>
        <c:crosses val="autoZero"/>
        <c:auto val="1"/>
        <c:lblAlgn val="ctr"/>
        <c:lblOffset val="100"/>
      </c:catAx>
      <c:valAx>
        <c:axId val="69499904"/>
        <c:scaling>
          <c:orientation val="minMax"/>
        </c:scaling>
        <c:axPos val="l"/>
        <c:majorGridlines/>
        <c:numFmt formatCode="0.0" sourceLinked="1"/>
        <c:tickLblPos val="nextTo"/>
        <c:crossAx val="694983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119063</xdr:colOff>
      <xdr:row>74</xdr:row>
      <xdr:rowOff>71435</xdr:rowOff>
    </xdr:from>
    <xdr:to>
      <xdr:col>16</xdr:col>
      <xdr:colOff>440532</xdr:colOff>
      <xdr:row>86</xdr:row>
      <xdr:rowOff>166686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95251</xdr:colOff>
      <xdr:row>91</xdr:row>
      <xdr:rowOff>71438</xdr:rowOff>
    </xdr:from>
    <xdr:to>
      <xdr:col>16</xdr:col>
      <xdr:colOff>416719</xdr:colOff>
      <xdr:row>104</xdr:row>
      <xdr:rowOff>1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130969</xdr:colOff>
      <xdr:row>108</xdr:row>
      <xdr:rowOff>119063</xdr:rowOff>
    </xdr:from>
    <xdr:to>
      <xdr:col>16</xdr:col>
      <xdr:colOff>452437</xdr:colOff>
      <xdr:row>121</xdr:row>
      <xdr:rowOff>47625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</xdr:colOff>
      <xdr:row>9</xdr:row>
      <xdr:rowOff>11906</xdr:rowOff>
    </xdr:from>
    <xdr:to>
      <xdr:col>8</xdr:col>
      <xdr:colOff>488156</xdr:colOff>
      <xdr:row>25</xdr:row>
      <xdr:rowOff>83343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96"/>
  <sheetViews>
    <sheetView tabSelected="1" workbookViewId="0">
      <pane ySplit="7" topLeftCell="A245" activePane="bottomLeft" state="frozen"/>
      <selection pane="bottomLeft" activeCell="H274" sqref="H274:I274"/>
    </sheetView>
  </sheetViews>
  <sheetFormatPr defaultRowHeight="12.75"/>
  <cols>
    <col min="1" max="3" width="5" customWidth="1"/>
    <col min="4" max="4" width="8.140625" customWidth="1"/>
    <col min="5" max="9" width="5.28515625" customWidth="1"/>
    <col min="10" max="10" width="4.85546875" customWidth="1"/>
    <col min="11" max="11" width="5.85546875" customWidth="1"/>
    <col min="12" max="12" width="4.85546875" customWidth="1"/>
    <col min="13" max="13" width="5" customWidth="1"/>
    <col min="14" max="14" width="3.5703125" customWidth="1"/>
    <col min="15" max="15" width="4.7109375" customWidth="1"/>
    <col min="16" max="16" width="3.5703125" customWidth="1"/>
    <col min="17" max="17" width="6" customWidth="1"/>
    <col min="18" max="18" width="2.42578125" customWidth="1"/>
  </cols>
  <sheetData>
    <row r="1" spans="1:17">
      <c r="A1" s="4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9</v>
      </c>
      <c r="J1" s="5">
        <v>10</v>
      </c>
      <c r="K1" s="5">
        <v>11</v>
      </c>
      <c r="L1" s="5">
        <v>12</v>
      </c>
      <c r="M1" s="5">
        <v>13</v>
      </c>
      <c r="N1" s="5">
        <v>14</v>
      </c>
      <c r="O1" s="5">
        <v>15</v>
      </c>
      <c r="P1" s="5">
        <v>16</v>
      </c>
      <c r="Q1" s="6">
        <v>19</v>
      </c>
    </row>
    <row r="2" spans="1:17" s="65" customFormat="1" ht="27" customHeight="1">
      <c r="A2" s="343" t="s">
        <v>3</v>
      </c>
      <c r="B2" s="347" t="s">
        <v>4</v>
      </c>
      <c r="C2" s="344" t="s">
        <v>0</v>
      </c>
      <c r="D2" s="344"/>
      <c r="E2" s="344"/>
      <c r="F2" s="348"/>
      <c r="G2" s="347" t="s">
        <v>1</v>
      </c>
      <c r="H2" s="344"/>
      <c r="I2" s="344"/>
      <c r="J2" s="344"/>
      <c r="K2" s="344"/>
      <c r="L2" s="348"/>
      <c r="M2" s="346" t="s">
        <v>2</v>
      </c>
      <c r="N2" s="344"/>
      <c r="O2" s="344"/>
      <c r="P2" s="344"/>
      <c r="Q2" s="345" t="s">
        <v>54</v>
      </c>
    </row>
    <row r="3" spans="1:17">
      <c r="A3" s="343"/>
      <c r="B3" s="347"/>
      <c r="C3" s="344" t="s">
        <v>5</v>
      </c>
      <c r="D3" s="344" t="s">
        <v>6</v>
      </c>
      <c r="E3" s="344" t="s">
        <v>7</v>
      </c>
      <c r="F3" s="348" t="s">
        <v>8</v>
      </c>
      <c r="G3" s="347" t="s">
        <v>56</v>
      </c>
      <c r="H3" s="344" t="s">
        <v>9</v>
      </c>
      <c r="I3" s="344" t="s">
        <v>10</v>
      </c>
      <c r="J3" s="344" t="s">
        <v>11</v>
      </c>
      <c r="K3" s="344" t="s">
        <v>35</v>
      </c>
      <c r="L3" s="348" t="s">
        <v>12</v>
      </c>
      <c r="M3" s="346" t="s">
        <v>13</v>
      </c>
      <c r="N3" s="344" t="s">
        <v>14</v>
      </c>
      <c r="O3" s="344" t="s">
        <v>15</v>
      </c>
      <c r="P3" s="344"/>
      <c r="Q3" s="345"/>
    </row>
    <row r="4" spans="1:17">
      <c r="A4" s="343"/>
      <c r="B4" s="347"/>
      <c r="C4" s="344"/>
      <c r="D4" s="344"/>
      <c r="E4" s="344"/>
      <c r="F4" s="348"/>
      <c r="G4" s="347"/>
      <c r="H4" s="344"/>
      <c r="I4" s="344"/>
      <c r="J4" s="344"/>
      <c r="K4" s="344"/>
      <c r="L4" s="348"/>
      <c r="M4" s="346"/>
      <c r="N4" s="344"/>
      <c r="O4" s="344"/>
      <c r="P4" s="344"/>
      <c r="Q4" s="345"/>
    </row>
    <row r="5" spans="1:17">
      <c r="A5" s="343"/>
      <c r="B5" s="347"/>
      <c r="C5" s="344"/>
      <c r="D5" s="344"/>
      <c r="E5" s="344"/>
      <c r="F5" s="348"/>
      <c r="G5" s="347"/>
      <c r="H5" s="344"/>
      <c r="I5" s="344"/>
      <c r="J5" s="344"/>
      <c r="K5" s="344"/>
      <c r="L5" s="348"/>
      <c r="M5" s="346"/>
      <c r="N5" s="344"/>
      <c r="O5" s="344"/>
      <c r="P5" s="344"/>
      <c r="Q5" s="345"/>
    </row>
    <row r="6" spans="1:17">
      <c r="A6" s="343"/>
      <c r="B6" s="347"/>
      <c r="C6" s="344"/>
      <c r="D6" s="344"/>
      <c r="E6" s="344"/>
      <c r="F6" s="348"/>
      <c r="G6" s="347"/>
      <c r="H6" s="344"/>
      <c r="I6" s="344"/>
      <c r="J6" s="344"/>
      <c r="K6" s="344"/>
      <c r="L6" s="348"/>
      <c r="M6" s="346"/>
      <c r="N6" s="344"/>
      <c r="O6" s="344"/>
      <c r="P6" s="344"/>
      <c r="Q6" s="345"/>
    </row>
    <row r="7" spans="1:17">
      <c r="A7" s="10"/>
      <c r="B7" s="29"/>
      <c r="C7" s="8"/>
      <c r="D7" s="8"/>
      <c r="E7" s="8"/>
      <c r="F7" s="28"/>
      <c r="G7" s="29"/>
      <c r="H7" s="8"/>
      <c r="I7" s="8" t="s">
        <v>33</v>
      </c>
      <c r="J7" s="8" t="s">
        <v>34</v>
      </c>
      <c r="K7" s="8"/>
      <c r="L7" s="28" t="s">
        <v>16</v>
      </c>
      <c r="M7" s="7"/>
      <c r="N7" s="8"/>
      <c r="O7" s="8"/>
      <c r="P7" s="8"/>
      <c r="Q7" s="9"/>
    </row>
    <row r="8" spans="1:17" ht="13.5" thickBot="1">
      <c r="A8" s="11"/>
      <c r="B8" s="30"/>
      <c r="C8" s="13"/>
      <c r="D8" s="13"/>
      <c r="E8" s="13"/>
      <c r="F8" s="31"/>
      <c r="G8" s="30"/>
      <c r="H8" s="13"/>
      <c r="I8" s="13"/>
      <c r="J8" s="13"/>
      <c r="K8" s="13"/>
      <c r="L8" s="31"/>
      <c r="M8" s="12"/>
      <c r="N8" s="13"/>
      <c r="O8" s="13"/>
      <c r="P8" s="13"/>
      <c r="Q8" s="14"/>
    </row>
    <row r="9" spans="1:17" ht="13.5" thickBot="1">
      <c r="A9" s="19"/>
      <c r="B9" s="339" t="s">
        <v>55</v>
      </c>
      <c r="C9" s="340"/>
      <c r="D9" s="340"/>
      <c r="E9" s="340"/>
      <c r="F9" s="341"/>
      <c r="G9" s="37" t="s">
        <v>19</v>
      </c>
      <c r="H9" s="342">
        <f>E19*3.5</f>
        <v>91.245000000000005</v>
      </c>
      <c r="I9" s="342"/>
      <c r="J9" s="20" t="s">
        <v>20</v>
      </c>
      <c r="K9" s="20"/>
      <c r="L9" s="38"/>
      <c r="M9" s="20"/>
      <c r="N9" s="20"/>
      <c r="O9" s="20"/>
      <c r="P9" s="20"/>
      <c r="Q9" s="24"/>
    </row>
    <row r="10" spans="1:17">
      <c r="A10" s="16" t="s">
        <v>30</v>
      </c>
      <c r="B10" s="67">
        <v>45</v>
      </c>
      <c r="C10" s="63">
        <v>3.3</v>
      </c>
      <c r="D10" s="63">
        <f>$D$265</f>
        <v>3.5</v>
      </c>
      <c r="E10" s="18">
        <f t="shared" ref="E10:E19" si="0">C10*D10</f>
        <v>11.549999999999999</v>
      </c>
      <c r="F10" s="70">
        <v>2</v>
      </c>
      <c r="G10" s="67">
        <f>0.9*0.9</f>
        <v>0.81</v>
      </c>
      <c r="H10" s="18">
        <f>(E10-(F10*G10))</f>
        <v>9.93</v>
      </c>
      <c r="I10" s="64">
        <f>$H$265</f>
        <v>1.304</v>
      </c>
      <c r="J10" s="63">
        <v>20</v>
      </c>
      <c r="K10" s="18">
        <f t="shared" ref="K10:K17" si="1">J10*I10</f>
        <v>26.080000000000002</v>
      </c>
      <c r="L10" s="32">
        <f t="shared" ref="L10:L17" si="2">H10*I10*J10</f>
        <v>258.9744</v>
      </c>
      <c r="M10" s="17" t="s">
        <v>22</v>
      </c>
      <c r="N10" s="321">
        <f>E20</f>
        <v>149.86000000000001</v>
      </c>
      <c r="O10" s="321"/>
      <c r="P10" s="321"/>
      <c r="Q10" s="316"/>
    </row>
    <row r="11" spans="1:17">
      <c r="A11" s="10" t="s">
        <v>31</v>
      </c>
      <c r="B11" s="68">
        <v>45</v>
      </c>
      <c r="C11" s="64">
        <v>7.9</v>
      </c>
      <c r="D11" s="202">
        <f>$D$265</f>
        <v>3.5</v>
      </c>
      <c r="E11" s="8">
        <f t="shared" si="0"/>
        <v>27.650000000000002</v>
      </c>
      <c r="F11" s="71">
        <v>2</v>
      </c>
      <c r="G11" s="68">
        <f>2*1.5</f>
        <v>3</v>
      </c>
      <c r="H11" s="8">
        <f t="shared" ref="H11:H19" si="3">(E11-(F11*G11))</f>
        <v>21.650000000000002</v>
      </c>
      <c r="I11" s="64">
        <f>$H$265</f>
        <v>1.304</v>
      </c>
      <c r="J11" s="64">
        <v>20</v>
      </c>
      <c r="K11" s="8">
        <f t="shared" si="1"/>
        <v>26.080000000000002</v>
      </c>
      <c r="L11" s="28">
        <f t="shared" si="2"/>
        <v>564.63200000000006</v>
      </c>
      <c r="M11" s="7" t="s">
        <v>23</v>
      </c>
      <c r="N11" s="318">
        <f>K21/(N10*(N12-N13))</f>
        <v>0.94098321766982507</v>
      </c>
      <c r="O11" s="318"/>
      <c r="P11" s="318"/>
      <c r="Q11" s="317"/>
    </row>
    <row r="12" spans="1:17">
      <c r="A12" s="10" t="s">
        <v>49</v>
      </c>
      <c r="B12" s="68">
        <v>45</v>
      </c>
      <c r="C12" s="64">
        <v>3.3</v>
      </c>
      <c r="D12" s="202">
        <f>$D$265</f>
        <v>3.5</v>
      </c>
      <c r="E12" s="8">
        <f>C12*D12</f>
        <v>11.549999999999999</v>
      </c>
      <c r="F12" s="71">
        <v>1</v>
      </c>
      <c r="G12" s="68">
        <f>3*3.3</f>
        <v>9.8999999999999986</v>
      </c>
      <c r="H12" s="8">
        <f>(E12-(F12*G12))</f>
        <v>1.6500000000000004</v>
      </c>
      <c r="I12" s="64">
        <f>$H$265</f>
        <v>1.304</v>
      </c>
      <c r="J12" s="64">
        <v>20</v>
      </c>
      <c r="K12" s="8">
        <f>J12*I12</f>
        <v>26.080000000000002</v>
      </c>
      <c r="L12" s="47">
        <f>H12*I12*J12</f>
        <v>43.032000000000011</v>
      </c>
      <c r="M12" s="46" t="s">
        <v>52</v>
      </c>
      <c r="N12" s="319">
        <v>5</v>
      </c>
      <c r="O12" s="319"/>
      <c r="P12" s="319"/>
      <c r="Q12" s="317"/>
    </row>
    <row r="13" spans="1:17">
      <c r="A13" s="10" t="s">
        <v>57</v>
      </c>
      <c r="B13" s="68">
        <v>30</v>
      </c>
      <c r="C13" s="64">
        <v>7.9</v>
      </c>
      <c r="D13" s="202">
        <f>$D$265</f>
        <v>3.5</v>
      </c>
      <c r="E13" s="8">
        <f>C13*D13</f>
        <v>27.650000000000002</v>
      </c>
      <c r="F13" s="71">
        <v>1</v>
      </c>
      <c r="G13" s="68">
        <f>0.9*2</f>
        <v>1.8</v>
      </c>
      <c r="H13" s="8">
        <f>(E13-(F13*G13))</f>
        <v>25.85</v>
      </c>
      <c r="I13" s="99">
        <f>$H$266</f>
        <v>1.7210000000000001</v>
      </c>
      <c r="J13" s="64">
        <v>0</v>
      </c>
      <c r="K13" s="8">
        <f>J13*I13</f>
        <v>0</v>
      </c>
      <c r="L13" s="47">
        <f>H13*I13*J13</f>
        <v>0</v>
      </c>
      <c r="M13" s="46" t="s">
        <v>53</v>
      </c>
      <c r="N13" s="319">
        <v>-15</v>
      </c>
      <c r="O13" s="319"/>
      <c r="P13" s="319"/>
      <c r="Q13" s="317"/>
    </row>
    <row r="14" spans="1:17">
      <c r="A14" s="10" t="s">
        <v>58</v>
      </c>
      <c r="B14" s="68"/>
      <c r="C14" s="64">
        <v>0.9</v>
      </c>
      <c r="D14" s="64">
        <v>0.9</v>
      </c>
      <c r="E14" s="8">
        <f>C14*D14*2</f>
        <v>1.62</v>
      </c>
      <c r="F14" s="71"/>
      <c r="G14" s="68"/>
      <c r="H14" s="8">
        <f t="shared" si="3"/>
        <v>1.62</v>
      </c>
      <c r="I14" s="64">
        <f>$H$272</f>
        <v>1.2</v>
      </c>
      <c r="J14" s="64">
        <v>20</v>
      </c>
      <c r="K14" s="8">
        <f t="shared" si="1"/>
        <v>24</v>
      </c>
      <c r="L14" s="28">
        <f t="shared" si="2"/>
        <v>38.879999999999995</v>
      </c>
      <c r="M14" s="52"/>
      <c r="N14" s="53"/>
      <c r="O14" s="53"/>
      <c r="P14" s="54"/>
      <c r="Q14" s="317"/>
    </row>
    <row r="15" spans="1:17">
      <c r="A15" s="10" t="s">
        <v>59</v>
      </c>
      <c r="B15" s="68"/>
      <c r="C15" s="64">
        <v>2</v>
      </c>
      <c r="D15" s="64">
        <v>1.5</v>
      </c>
      <c r="E15" s="8">
        <f>C15*D15*2</f>
        <v>6</v>
      </c>
      <c r="F15" s="71"/>
      <c r="G15" s="68"/>
      <c r="H15" s="8">
        <f t="shared" si="3"/>
        <v>6</v>
      </c>
      <c r="I15" s="64">
        <f>$H$272</f>
        <v>1.2</v>
      </c>
      <c r="J15" s="64">
        <v>20</v>
      </c>
      <c r="K15" s="8">
        <f t="shared" si="1"/>
        <v>24</v>
      </c>
      <c r="L15" s="28">
        <f t="shared" si="2"/>
        <v>144</v>
      </c>
      <c r="M15" s="52"/>
      <c r="N15" s="53"/>
      <c r="O15" s="53"/>
      <c r="P15" s="54"/>
      <c r="Q15" s="317"/>
    </row>
    <row r="16" spans="1:17">
      <c r="A16" s="10" t="s">
        <v>60</v>
      </c>
      <c r="B16" s="68"/>
      <c r="C16" s="64">
        <v>3</v>
      </c>
      <c r="D16" s="64">
        <v>3.3</v>
      </c>
      <c r="E16" s="8">
        <f>C16*D16</f>
        <v>9.8999999999999986</v>
      </c>
      <c r="F16" s="71"/>
      <c r="G16" s="68"/>
      <c r="H16" s="8">
        <f>(E16-(F16*G16))</f>
        <v>9.8999999999999986</v>
      </c>
      <c r="I16" s="64">
        <f>$H$273</f>
        <v>5</v>
      </c>
      <c r="J16" s="64">
        <v>20</v>
      </c>
      <c r="K16" s="8">
        <f>J16*I16</f>
        <v>100</v>
      </c>
      <c r="L16" s="28">
        <f>H16*I16*J16</f>
        <v>989.99999999999989</v>
      </c>
      <c r="M16" s="52"/>
      <c r="N16" s="53"/>
      <c r="O16" s="53"/>
      <c r="P16" s="54"/>
      <c r="Q16" s="317"/>
    </row>
    <row r="17" spans="1:17">
      <c r="A17" s="10" t="s">
        <v>61</v>
      </c>
      <c r="B17" s="68"/>
      <c r="C17" s="64">
        <v>0.9</v>
      </c>
      <c r="D17" s="64">
        <v>2</v>
      </c>
      <c r="E17" s="8">
        <f t="shared" si="0"/>
        <v>1.8</v>
      </c>
      <c r="F17" s="71"/>
      <c r="G17" s="68"/>
      <c r="H17" s="8">
        <f t="shared" si="3"/>
        <v>1.8</v>
      </c>
      <c r="I17" s="64">
        <f>$H$274</f>
        <v>2</v>
      </c>
      <c r="J17" s="64">
        <v>0</v>
      </c>
      <c r="K17" s="8">
        <f t="shared" si="1"/>
        <v>0</v>
      </c>
      <c r="L17" s="28">
        <f t="shared" si="2"/>
        <v>0</v>
      </c>
      <c r="M17" s="52"/>
      <c r="N17" s="53"/>
      <c r="O17" s="53"/>
      <c r="P17" s="54"/>
      <c r="Q17" s="317"/>
    </row>
    <row r="18" spans="1:17">
      <c r="A18" s="86" t="s">
        <v>62</v>
      </c>
      <c r="B18" s="87">
        <v>0.24</v>
      </c>
      <c r="C18" s="88">
        <v>7.9</v>
      </c>
      <c r="D18" s="88">
        <v>3.3</v>
      </c>
      <c r="E18" s="55">
        <f t="shared" si="0"/>
        <v>26.07</v>
      </c>
      <c r="F18" s="89"/>
      <c r="G18" s="87"/>
      <c r="H18" s="55">
        <f t="shared" si="3"/>
        <v>26.07</v>
      </c>
      <c r="I18" s="64">
        <f>$H$269</f>
        <v>1.1759999999999999</v>
      </c>
      <c r="J18" s="64">
        <v>20</v>
      </c>
      <c r="K18" s="55">
        <f t="shared" ref="K18:K19" si="4">J18*I18</f>
        <v>23.52</v>
      </c>
      <c r="L18" s="47">
        <f t="shared" ref="L18:L19" si="5">H18*I18*J18</f>
        <v>613.16639999999995</v>
      </c>
      <c r="M18" s="52"/>
      <c r="N18" s="53"/>
      <c r="O18" s="53"/>
      <c r="P18" s="54"/>
      <c r="Q18" s="317"/>
    </row>
    <row r="19" spans="1:17">
      <c r="A19" s="86" t="s">
        <v>63</v>
      </c>
      <c r="B19" s="87"/>
      <c r="C19" s="88">
        <v>7.9</v>
      </c>
      <c r="D19" s="88">
        <v>3.3</v>
      </c>
      <c r="E19" s="55">
        <f t="shared" si="0"/>
        <v>26.07</v>
      </c>
      <c r="F19" s="89"/>
      <c r="G19" s="87"/>
      <c r="H19" s="55">
        <f t="shared" si="3"/>
        <v>26.07</v>
      </c>
      <c r="I19" s="64">
        <f>$H$271</f>
        <v>1.286</v>
      </c>
      <c r="J19" s="64">
        <v>5</v>
      </c>
      <c r="K19" s="55">
        <f t="shared" si="4"/>
        <v>6.43</v>
      </c>
      <c r="L19" s="47">
        <f t="shared" si="5"/>
        <v>167.63010000000003</v>
      </c>
      <c r="M19" s="52"/>
      <c r="N19" s="53"/>
      <c r="O19" s="53"/>
      <c r="P19" s="54"/>
      <c r="Q19" s="317"/>
    </row>
    <row r="20" spans="1:17" ht="13.5" thickBot="1">
      <c r="A20" s="42"/>
      <c r="B20" s="93"/>
      <c r="C20" s="94"/>
      <c r="D20" s="94"/>
      <c r="E20" s="90">
        <f>SUM(E10:E19)</f>
        <v>149.86000000000001</v>
      </c>
      <c r="F20" s="95"/>
      <c r="G20" s="93"/>
      <c r="H20" s="94"/>
      <c r="I20" s="94"/>
      <c r="J20" s="94"/>
      <c r="K20" s="43"/>
      <c r="L20" s="44"/>
      <c r="M20" s="50"/>
      <c r="N20" s="48"/>
      <c r="O20" s="48"/>
      <c r="P20" s="51"/>
      <c r="Q20" s="317"/>
    </row>
    <row r="21" spans="1:17" ht="14.25" thickTop="1" thickBot="1">
      <c r="A21" s="25"/>
      <c r="B21" s="320" t="s">
        <v>17</v>
      </c>
      <c r="C21" s="321"/>
      <c r="D21" s="321"/>
      <c r="E21" s="321"/>
      <c r="F21" s="322"/>
      <c r="G21" s="72"/>
      <c r="H21" s="73"/>
      <c r="I21" s="74"/>
      <c r="J21" s="18" t="s">
        <v>21</v>
      </c>
      <c r="K21" s="321">
        <f>SUM(L10:L20)</f>
        <v>2820.3148999999999</v>
      </c>
      <c r="L21" s="322"/>
      <c r="M21" s="7">
        <f>0.15*N11</f>
        <v>0.14114748265047375</v>
      </c>
      <c r="N21" s="8">
        <v>0</v>
      </c>
      <c r="O21" s="45">
        <v>0.1</v>
      </c>
      <c r="P21" s="8">
        <f>1+O21+N21+M21</f>
        <v>1.2411474826504738</v>
      </c>
      <c r="Q21" s="9"/>
    </row>
    <row r="22" spans="1:17">
      <c r="A22" s="15"/>
      <c r="B22" s="33"/>
      <c r="C22" s="76" t="s">
        <v>65</v>
      </c>
      <c r="D22" s="22">
        <v>1.9000000000000001E-4</v>
      </c>
      <c r="E22" s="22" t="s">
        <v>27</v>
      </c>
      <c r="F22" s="34">
        <v>12</v>
      </c>
      <c r="G22" s="49" t="s">
        <v>25</v>
      </c>
      <c r="H22" s="330">
        <f>(0.5*H9)/3600</f>
        <v>1.2672916666666667E-2</v>
      </c>
      <c r="I22" s="331"/>
      <c r="J22" s="22"/>
      <c r="K22" s="22"/>
      <c r="L22" s="34"/>
      <c r="M22" s="22"/>
      <c r="N22" s="22"/>
      <c r="O22" s="22"/>
      <c r="P22" s="22" t="s">
        <v>24</v>
      </c>
      <c r="Q22" s="23">
        <f>K21*P21</f>
        <v>3500.4267384166228</v>
      </c>
    </row>
    <row r="23" spans="1:17" ht="13.5" thickBot="1">
      <c r="A23" s="15"/>
      <c r="B23" s="33"/>
      <c r="C23" s="76" t="s">
        <v>64</v>
      </c>
      <c r="D23" s="66">
        <f>(0.9+0.9)*2+(2+1.5)*2+1.5*4+(3+3.3)*2+3.3</f>
        <v>32.5</v>
      </c>
      <c r="E23" s="22" t="s">
        <v>28</v>
      </c>
      <c r="F23" s="34">
        <v>0.7</v>
      </c>
      <c r="G23" s="35" t="s">
        <v>26</v>
      </c>
      <c r="H23" s="332">
        <f>((D22*D23)*F22*F23)</f>
        <v>5.1869999999999999E-2</v>
      </c>
      <c r="I23" s="333"/>
      <c r="J23" s="22"/>
      <c r="K23" s="22"/>
      <c r="L23" s="34"/>
      <c r="M23" s="22"/>
      <c r="N23" s="22"/>
      <c r="O23" s="22"/>
      <c r="P23" s="22" t="s">
        <v>29</v>
      </c>
      <c r="Q23" s="23">
        <f>1300*(H24*(N12-(N13)))</f>
        <v>1348.62</v>
      </c>
    </row>
    <row r="24" spans="1:17" ht="13.5" thickBot="1">
      <c r="A24" s="25"/>
      <c r="B24" s="36"/>
      <c r="C24" s="26"/>
      <c r="D24" s="39"/>
      <c r="E24" s="39"/>
      <c r="F24" s="40"/>
      <c r="G24" s="41" t="s">
        <v>18</v>
      </c>
      <c r="H24" s="334">
        <f>MAX(H22,H23)</f>
        <v>5.1869999999999999E-2</v>
      </c>
      <c r="I24" s="335"/>
      <c r="J24" s="39"/>
      <c r="K24" s="39"/>
      <c r="L24" s="40"/>
      <c r="M24" s="39"/>
      <c r="N24" s="39"/>
      <c r="O24" s="39"/>
      <c r="P24" s="91" t="s">
        <v>66</v>
      </c>
      <c r="Q24" s="102">
        <f>SUM(Q22:Q23)</f>
        <v>4849.0467384166222</v>
      </c>
    </row>
    <row r="25" spans="1:17" ht="13.5" thickBot="1">
      <c r="A25" s="21"/>
      <c r="B25" s="2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7"/>
    </row>
    <row r="26" spans="1:17" ht="13.5" thickBot="1">
      <c r="A26" s="19"/>
      <c r="B26" s="339" t="s">
        <v>67</v>
      </c>
      <c r="C26" s="340"/>
      <c r="D26" s="340"/>
      <c r="E26" s="340"/>
      <c r="F26" s="341"/>
      <c r="G26" s="60" t="s">
        <v>19</v>
      </c>
      <c r="H26" s="342">
        <f>E39*3.5</f>
        <v>387.1</v>
      </c>
      <c r="I26" s="342"/>
      <c r="J26" s="59" t="s">
        <v>20</v>
      </c>
      <c r="K26" s="59"/>
      <c r="L26" s="61"/>
      <c r="M26" s="59"/>
      <c r="N26" s="59"/>
      <c r="O26" s="59"/>
      <c r="P26" s="59"/>
      <c r="Q26" s="24"/>
    </row>
    <row r="27" spans="1:17">
      <c r="A27" s="16" t="s">
        <v>30</v>
      </c>
      <c r="B27" s="67">
        <v>45</v>
      </c>
      <c r="C27" s="69">
        <v>14</v>
      </c>
      <c r="D27" s="202">
        <f t="shared" ref="D27:D32" si="6">$D$265</f>
        <v>3.5</v>
      </c>
      <c r="E27" s="57">
        <f t="shared" ref="E27:E28" si="7">C27*D27</f>
        <v>49</v>
      </c>
      <c r="F27" s="70">
        <v>8</v>
      </c>
      <c r="G27" s="67">
        <f>0.9*0.9</f>
        <v>0.81</v>
      </c>
      <c r="H27" s="57">
        <f>(E27-(F27*G27))</f>
        <v>42.519999999999996</v>
      </c>
      <c r="I27" s="64">
        <f>$H$265</f>
        <v>1.304</v>
      </c>
      <c r="J27" s="69">
        <v>20</v>
      </c>
      <c r="K27" s="57">
        <f t="shared" ref="K27:K28" si="8">J27*I27</f>
        <v>26.080000000000002</v>
      </c>
      <c r="L27" s="58">
        <f t="shared" ref="L27:L28" si="9">H27*I27*J27</f>
        <v>1108.9215999999999</v>
      </c>
      <c r="M27" s="17" t="s">
        <v>22</v>
      </c>
      <c r="N27" s="321">
        <f>E40</f>
        <v>418.64000000000004</v>
      </c>
      <c r="O27" s="321"/>
      <c r="P27" s="321"/>
      <c r="Q27" s="316"/>
    </row>
    <row r="28" spans="1:17">
      <c r="A28" s="10" t="s">
        <v>68</v>
      </c>
      <c r="B28" s="68">
        <v>30</v>
      </c>
      <c r="C28" s="64">
        <v>7.9</v>
      </c>
      <c r="D28" s="202">
        <f t="shared" si="6"/>
        <v>3.5</v>
      </c>
      <c r="E28" s="55">
        <f t="shared" si="7"/>
        <v>27.650000000000002</v>
      </c>
      <c r="F28" s="71">
        <v>1</v>
      </c>
      <c r="G28" s="68">
        <f>0.9*2</f>
        <v>1.8</v>
      </c>
      <c r="H28" s="55">
        <f t="shared" ref="H28" si="10">(E28-(F28*G28))</f>
        <v>25.85</v>
      </c>
      <c r="I28" s="99">
        <f>$H$266</f>
        <v>1.7210000000000001</v>
      </c>
      <c r="J28" s="64">
        <v>0</v>
      </c>
      <c r="K28" s="55">
        <f t="shared" si="8"/>
        <v>0</v>
      </c>
      <c r="L28" s="47">
        <f t="shared" si="9"/>
        <v>0</v>
      </c>
      <c r="M28" s="46" t="s">
        <v>23</v>
      </c>
      <c r="N28" s="318">
        <f>K41/(N27*(N29-N30))</f>
        <v>0.95058420420886669</v>
      </c>
      <c r="O28" s="318"/>
      <c r="P28" s="318"/>
      <c r="Q28" s="317"/>
    </row>
    <row r="29" spans="1:17">
      <c r="A29" s="10" t="s">
        <v>49</v>
      </c>
      <c r="B29" s="68">
        <v>45</v>
      </c>
      <c r="C29" s="64">
        <v>14</v>
      </c>
      <c r="D29" s="202">
        <f t="shared" si="6"/>
        <v>3.5</v>
      </c>
      <c r="E29" s="55">
        <f>C29*D29</f>
        <v>49</v>
      </c>
      <c r="F29" s="71">
        <v>1</v>
      </c>
      <c r="G29" s="68">
        <f>0.9*0.9+1.5*2.5+3*3*3.35</f>
        <v>34.71</v>
      </c>
      <c r="H29" s="55">
        <f>(E29-(F29*G29))</f>
        <v>14.29</v>
      </c>
      <c r="I29" s="64">
        <f>$H$265</f>
        <v>1.304</v>
      </c>
      <c r="J29" s="64">
        <v>20</v>
      </c>
      <c r="K29" s="55">
        <f>J29*I29</f>
        <v>26.080000000000002</v>
      </c>
      <c r="L29" s="47">
        <f>H29*I29*J29</f>
        <v>372.68319999999994</v>
      </c>
      <c r="M29" s="46" t="s">
        <v>52</v>
      </c>
      <c r="N29" s="319">
        <v>5</v>
      </c>
      <c r="O29" s="319"/>
      <c r="P29" s="319"/>
      <c r="Q29" s="317"/>
    </row>
    <row r="30" spans="1:17">
      <c r="A30" s="10" t="s">
        <v>57</v>
      </c>
      <c r="B30" s="68">
        <v>30</v>
      </c>
      <c r="C30" s="64">
        <v>2.15</v>
      </c>
      <c r="D30" s="202">
        <f t="shared" si="6"/>
        <v>3.5</v>
      </c>
      <c r="E30" s="55">
        <f>C30*D30</f>
        <v>7.5249999999999995</v>
      </c>
      <c r="F30" s="71">
        <v>0</v>
      </c>
      <c r="G30" s="68"/>
      <c r="H30" s="55">
        <f>(E30-(F30*G30))</f>
        <v>7.5249999999999995</v>
      </c>
      <c r="I30" s="99">
        <f>$H$266</f>
        <v>1.7210000000000001</v>
      </c>
      <c r="J30" s="64">
        <v>0</v>
      </c>
      <c r="K30" s="55">
        <f>J30*I30</f>
        <v>0</v>
      </c>
      <c r="L30" s="47">
        <f>H30*I30*J30</f>
        <v>0</v>
      </c>
      <c r="M30" s="46" t="s">
        <v>53</v>
      </c>
      <c r="N30" s="319">
        <v>-15</v>
      </c>
      <c r="O30" s="319"/>
      <c r="P30" s="319"/>
      <c r="Q30" s="317"/>
    </row>
    <row r="31" spans="1:17">
      <c r="A31" s="10" t="s">
        <v>77</v>
      </c>
      <c r="B31" s="68">
        <v>30</v>
      </c>
      <c r="C31" s="64">
        <v>2.4500000000000002</v>
      </c>
      <c r="D31" s="202">
        <f t="shared" si="6"/>
        <v>3.5</v>
      </c>
      <c r="E31" s="201">
        <f t="shared" ref="E31:E32" si="11">C31*D31</f>
        <v>8.5750000000000011</v>
      </c>
      <c r="F31" s="71">
        <v>0</v>
      </c>
      <c r="G31" s="68"/>
      <c r="H31" s="201">
        <f t="shared" ref="H31:H32" si="12">(E31-(F31*G31))</f>
        <v>8.5750000000000011</v>
      </c>
      <c r="I31" s="202">
        <f>$H$266</f>
        <v>1.7210000000000001</v>
      </c>
      <c r="J31" s="64">
        <v>-15</v>
      </c>
      <c r="K31" s="201">
        <f t="shared" ref="K31:K32" si="13">J31*I31</f>
        <v>-25.815000000000001</v>
      </c>
      <c r="L31" s="47">
        <f t="shared" ref="L31:L32" si="14">H31*I31*J31</f>
        <v>-221.36362500000004</v>
      </c>
      <c r="M31" s="198"/>
      <c r="N31" s="96"/>
      <c r="O31" s="96"/>
      <c r="P31" s="97"/>
      <c r="Q31" s="317"/>
    </row>
    <row r="32" spans="1:17">
      <c r="A32" s="10" t="s">
        <v>79</v>
      </c>
      <c r="B32" s="68">
        <v>30</v>
      </c>
      <c r="C32" s="64">
        <v>3.3</v>
      </c>
      <c r="D32" s="202">
        <f t="shared" si="6"/>
        <v>3.5</v>
      </c>
      <c r="E32" s="201">
        <f t="shared" si="11"/>
        <v>11.549999999999999</v>
      </c>
      <c r="F32" s="71">
        <v>1</v>
      </c>
      <c r="G32" s="68">
        <f>0.8*2</f>
        <v>1.6</v>
      </c>
      <c r="H32" s="201">
        <f t="shared" si="12"/>
        <v>9.9499999999999993</v>
      </c>
      <c r="I32" s="202">
        <f>$H$266</f>
        <v>1.7210000000000001</v>
      </c>
      <c r="J32" s="64">
        <v>-5</v>
      </c>
      <c r="K32" s="201">
        <f t="shared" si="13"/>
        <v>-8.6050000000000004</v>
      </c>
      <c r="L32" s="47">
        <f t="shared" si="14"/>
        <v>-85.61975000000001</v>
      </c>
      <c r="M32" s="198"/>
      <c r="N32" s="96"/>
      <c r="O32" s="96"/>
      <c r="P32" s="97"/>
      <c r="Q32" s="317"/>
    </row>
    <row r="33" spans="1:17">
      <c r="A33" s="10" t="s">
        <v>58</v>
      </c>
      <c r="B33" s="68"/>
      <c r="C33" s="64">
        <v>0.9</v>
      </c>
      <c r="D33" s="64">
        <v>0.9</v>
      </c>
      <c r="E33" s="55">
        <f>C33*D33*9</f>
        <v>7.2900000000000009</v>
      </c>
      <c r="F33" s="71"/>
      <c r="G33" s="68"/>
      <c r="H33" s="55">
        <f t="shared" ref="H33:H34" si="15">(E33-(F33*G33))</f>
        <v>7.2900000000000009</v>
      </c>
      <c r="I33" s="64">
        <f>$H$272</f>
        <v>1.2</v>
      </c>
      <c r="J33" s="64">
        <v>20</v>
      </c>
      <c r="K33" s="55">
        <f t="shared" ref="K33:K34" si="16">J33*I33</f>
        <v>24</v>
      </c>
      <c r="L33" s="47">
        <f t="shared" ref="L33:L34" si="17">H33*I33*J33</f>
        <v>174.96000000000004</v>
      </c>
      <c r="M33" s="52"/>
      <c r="N33" s="53"/>
      <c r="O33" s="53"/>
      <c r="P33" s="54"/>
      <c r="Q33" s="317"/>
    </row>
    <row r="34" spans="1:17">
      <c r="A34" s="10" t="s">
        <v>60</v>
      </c>
      <c r="B34" s="68"/>
      <c r="C34" s="64">
        <v>3</v>
      </c>
      <c r="D34" s="64">
        <v>3.3</v>
      </c>
      <c r="E34" s="55">
        <f>C34*D34*3</f>
        <v>29.699999999999996</v>
      </c>
      <c r="F34" s="71"/>
      <c r="G34" s="68"/>
      <c r="H34" s="55">
        <f t="shared" si="15"/>
        <v>29.699999999999996</v>
      </c>
      <c r="I34" s="64">
        <f>$H$273</f>
        <v>5</v>
      </c>
      <c r="J34" s="64">
        <v>20</v>
      </c>
      <c r="K34" s="55">
        <f t="shared" si="16"/>
        <v>100</v>
      </c>
      <c r="L34" s="47">
        <f t="shared" si="17"/>
        <v>2969.9999999999995</v>
      </c>
      <c r="M34" s="52"/>
      <c r="N34" s="53"/>
      <c r="O34" s="53"/>
      <c r="P34" s="54"/>
      <c r="Q34" s="317"/>
    </row>
    <row r="35" spans="1:17">
      <c r="A35" s="10" t="s">
        <v>69</v>
      </c>
      <c r="B35" s="68"/>
      <c r="C35" s="64">
        <v>1.5</v>
      </c>
      <c r="D35" s="64">
        <v>2.5</v>
      </c>
      <c r="E35" s="55">
        <f>C35*D35</f>
        <v>3.75</v>
      </c>
      <c r="F35" s="71"/>
      <c r="G35" s="68"/>
      <c r="H35" s="55">
        <f>(E35-(F35*G35))</f>
        <v>3.75</v>
      </c>
      <c r="I35" s="64">
        <f>$H$273</f>
        <v>5</v>
      </c>
      <c r="J35" s="64">
        <v>20</v>
      </c>
      <c r="K35" s="55">
        <f>J35*I35</f>
        <v>100</v>
      </c>
      <c r="L35" s="47">
        <f>H35*I35*J35</f>
        <v>375</v>
      </c>
      <c r="M35" s="52"/>
      <c r="N35" s="53"/>
      <c r="O35" s="53"/>
      <c r="P35" s="54"/>
      <c r="Q35" s="317"/>
    </row>
    <row r="36" spans="1:17">
      <c r="A36" s="10" t="s">
        <v>61</v>
      </c>
      <c r="B36" s="68"/>
      <c r="C36" s="64">
        <v>0.9</v>
      </c>
      <c r="D36" s="64">
        <v>2</v>
      </c>
      <c r="E36" s="55">
        <f t="shared" ref="E36:E39" si="18">C36*D36</f>
        <v>1.8</v>
      </c>
      <c r="F36" s="71"/>
      <c r="G36" s="68"/>
      <c r="H36" s="55">
        <f t="shared" ref="H36:H39" si="19">(E36-(F36*G36))</f>
        <v>1.8</v>
      </c>
      <c r="I36" s="64">
        <f>$H$274</f>
        <v>2</v>
      </c>
      <c r="J36" s="64">
        <v>0</v>
      </c>
      <c r="K36" s="55">
        <f t="shared" ref="K36:K39" si="20">J36*I36</f>
        <v>0</v>
      </c>
      <c r="L36" s="47">
        <f t="shared" ref="L36:L39" si="21">H36*I36*J36</f>
        <v>0</v>
      </c>
      <c r="M36" s="52"/>
      <c r="N36" s="53"/>
      <c r="O36" s="53"/>
      <c r="P36" s="54"/>
      <c r="Q36" s="317"/>
    </row>
    <row r="37" spans="1:17">
      <c r="A37" s="86" t="s">
        <v>70</v>
      </c>
      <c r="B37" s="87"/>
      <c r="C37" s="88">
        <v>0.8</v>
      </c>
      <c r="D37" s="88">
        <v>2</v>
      </c>
      <c r="E37" s="55">
        <f t="shared" ref="E37" si="22">C37*D37</f>
        <v>1.6</v>
      </c>
      <c r="F37" s="71"/>
      <c r="G37" s="68"/>
      <c r="H37" s="55">
        <f t="shared" ref="H37" si="23">(E37-(F37*G37))</f>
        <v>1.6</v>
      </c>
      <c r="I37" s="64">
        <f>$H$274</f>
        <v>2</v>
      </c>
      <c r="J37" s="64">
        <v>-15</v>
      </c>
      <c r="K37" s="55">
        <f t="shared" ref="K37" si="24">J37*I37</f>
        <v>-30</v>
      </c>
      <c r="L37" s="47">
        <f t="shared" ref="L37" si="25">H37*I37*J37</f>
        <v>-48</v>
      </c>
      <c r="M37" s="52"/>
      <c r="N37" s="53"/>
      <c r="O37" s="53"/>
      <c r="P37" s="54"/>
      <c r="Q37" s="317"/>
    </row>
    <row r="38" spans="1:17">
      <c r="A38" s="86" t="s">
        <v>62</v>
      </c>
      <c r="B38" s="87">
        <v>0.24</v>
      </c>
      <c r="C38" s="88">
        <v>7.9</v>
      </c>
      <c r="D38" s="88">
        <v>14</v>
      </c>
      <c r="E38" s="55">
        <f t="shared" si="18"/>
        <v>110.60000000000001</v>
      </c>
      <c r="F38" s="89"/>
      <c r="G38" s="87"/>
      <c r="H38" s="55">
        <f t="shared" si="19"/>
        <v>110.60000000000001</v>
      </c>
      <c r="I38" s="64">
        <f>$H$269</f>
        <v>1.1759999999999999</v>
      </c>
      <c r="J38" s="64">
        <v>20</v>
      </c>
      <c r="K38" s="55">
        <f t="shared" si="20"/>
        <v>23.52</v>
      </c>
      <c r="L38" s="47">
        <f t="shared" si="21"/>
        <v>2601.3119999999999</v>
      </c>
      <c r="M38" s="52"/>
      <c r="N38" s="53"/>
      <c r="O38" s="53"/>
      <c r="P38" s="54"/>
      <c r="Q38" s="317"/>
    </row>
    <row r="39" spans="1:17">
      <c r="A39" s="86" t="s">
        <v>63</v>
      </c>
      <c r="B39" s="87"/>
      <c r="C39" s="88">
        <v>7.9</v>
      </c>
      <c r="D39" s="88">
        <v>14</v>
      </c>
      <c r="E39" s="55">
        <f t="shared" si="18"/>
        <v>110.60000000000001</v>
      </c>
      <c r="F39" s="89"/>
      <c r="G39" s="87"/>
      <c r="H39" s="55">
        <f t="shared" si="19"/>
        <v>110.60000000000001</v>
      </c>
      <c r="I39" s="64">
        <f>$H$271</f>
        <v>1.286</v>
      </c>
      <c r="J39" s="64">
        <v>5</v>
      </c>
      <c r="K39" s="55">
        <f t="shared" si="20"/>
        <v>6.43</v>
      </c>
      <c r="L39" s="47">
        <f t="shared" si="21"/>
        <v>711.15800000000013</v>
      </c>
      <c r="M39" s="52"/>
      <c r="N39" s="53"/>
      <c r="O39" s="53"/>
      <c r="P39" s="54"/>
      <c r="Q39" s="317"/>
    </row>
    <row r="40" spans="1:17" ht="13.5" thickBot="1">
      <c r="A40" s="42"/>
      <c r="B40" s="93"/>
      <c r="C40" s="94"/>
      <c r="D40" s="94"/>
      <c r="E40" s="90">
        <f>SUM(E27:E39)</f>
        <v>418.64000000000004</v>
      </c>
      <c r="F40" s="95"/>
      <c r="G40" s="93"/>
      <c r="H40" s="94"/>
      <c r="I40" s="94"/>
      <c r="J40" s="94"/>
      <c r="K40" s="94"/>
      <c r="L40" s="44"/>
      <c r="M40" s="50"/>
      <c r="N40" s="56"/>
      <c r="O40" s="56"/>
      <c r="P40" s="51"/>
      <c r="Q40" s="317"/>
    </row>
    <row r="41" spans="1:17" ht="14.25" thickTop="1" thickBot="1">
      <c r="A41" s="25"/>
      <c r="B41" s="320" t="s">
        <v>17</v>
      </c>
      <c r="C41" s="321"/>
      <c r="D41" s="321"/>
      <c r="E41" s="321"/>
      <c r="F41" s="322"/>
      <c r="G41" s="72"/>
      <c r="H41" s="73"/>
      <c r="I41" s="74"/>
      <c r="J41" s="57" t="s">
        <v>21</v>
      </c>
      <c r="K41" s="321">
        <f>SUM(L27:L40)</f>
        <v>7959.0514249999997</v>
      </c>
      <c r="L41" s="322"/>
      <c r="M41" s="46">
        <f>0.15*N28</f>
        <v>0.14258763063133001</v>
      </c>
      <c r="N41" s="55">
        <v>0</v>
      </c>
      <c r="O41" s="45">
        <v>0</v>
      </c>
      <c r="P41" s="55">
        <f>1+O41+N41+M41</f>
        <v>1.1425876306313301</v>
      </c>
      <c r="Q41" s="62"/>
    </row>
    <row r="42" spans="1:17">
      <c r="A42" s="15"/>
      <c r="B42" s="33"/>
      <c r="C42" s="76" t="s">
        <v>65</v>
      </c>
      <c r="D42" s="22">
        <v>1.9000000000000001E-4</v>
      </c>
      <c r="E42" s="22" t="s">
        <v>27</v>
      </c>
      <c r="F42" s="34">
        <v>12</v>
      </c>
      <c r="G42" s="49" t="s">
        <v>25</v>
      </c>
      <c r="H42" s="330">
        <f>(0.5*H26)/3600</f>
        <v>5.3763888888888889E-2</v>
      </c>
      <c r="I42" s="331"/>
      <c r="J42" s="22"/>
      <c r="K42" s="22"/>
      <c r="L42" s="34"/>
      <c r="M42" s="22"/>
      <c r="N42" s="22"/>
      <c r="O42" s="22"/>
      <c r="P42" s="22" t="s">
        <v>24</v>
      </c>
      <c r="Q42" s="23">
        <f>K41*P41</f>
        <v>9093.9137097636612</v>
      </c>
    </row>
    <row r="43" spans="1:17" ht="13.5" thickBot="1">
      <c r="A43" s="15"/>
      <c r="B43" s="33"/>
      <c r="C43" s="76" t="s">
        <v>64</v>
      </c>
      <c r="D43" s="66">
        <f>(0.9+0.9)*9+(1.5+2.5)*2+2.5+((3+3.5)*2+3.5)*3</f>
        <v>76.2</v>
      </c>
      <c r="E43" s="22" t="s">
        <v>28</v>
      </c>
      <c r="F43" s="34">
        <v>0.7</v>
      </c>
      <c r="G43" s="35" t="s">
        <v>26</v>
      </c>
      <c r="H43" s="332">
        <f>((D42*D43)*F42*F43)</f>
        <v>0.12161519999999999</v>
      </c>
      <c r="I43" s="333"/>
      <c r="J43" s="22"/>
      <c r="K43" s="22"/>
      <c r="L43" s="34"/>
      <c r="M43" s="22"/>
      <c r="N43" s="22"/>
      <c r="O43" s="22"/>
      <c r="P43" s="22" t="s">
        <v>29</v>
      </c>
      <c r="Q43" s="23">
        <f>1300*(H44*(N29-(N30)))</f>
        <v>3161.9951999999998</v>
      </c>
    </row>
    <row r="44" spans="1:17" ht="13.5" thickBot="1">
      <c r="A44" s="25"/>
      <c r="B44" s="36"/>
      <c r="C44" s="26"/>
      <c r="D44" s="75"/>
      <c r="E44" s="75"/>
      <c r="F44" s="40"/>
      <c r="G44" s="41" t="s">
        <v>18</v>
      </c>
      <c r="H44" s="334">
        <f>MAX(H42,H43)</f>
        <v>0.12161519999999999</v>
      </c>
      <c r="I44" s="335"/>
      <c r="J44" s="75"/>
      <c r="K44" s="75"/>
      <c r="L44" s="40"/>
      <c r="M44" s="75"/>
      <c r="N44" s="75"/>
      <c r="O44" s="75"/>
      <c r="P44" s="91" t="s">
        <v>66</v>
      </c>
      <c r="Q44" s="92">
        <f>SUM(Q42:Q43)</f>
        <v>12255.908909763661</v>
      </c>
    </row>
    <row r="45" spans="1:17" ht="13.5" thickBot="1">
      <c r="A45" s="21"/>
      <c r="B45" s="21"/>
      <c r="C45" s="21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7"/>
    </row>
    <row r="46" spans="1:17" ht="13.5" thickBot="1">
      <c r="A46" s="19"/>
      <c r="B46" s="339" t="s">
        <v>288</v>
      </c>
      <c r="C46" s="340"/>
      <c r="D46" s="340"/>
      <c r="E46" s="340"/>
      <c r="F46" s="341"/>
      <c r="G46" s="60" t="s">
        <v>19</v>
      </c>
      <c r="H46" s="342">
        <f>E58*D47</f>
        <v>37.352000000000004</v>
      </c>
      <c r="I46" s="342"/>
      <c r="J46" s="59" t="s">
        <v>20</v>
      </c>
      <c r="K46" s="59"/>
      <c r="L46" s="61"/>
      <c r="M46" s="59"/>
      <c r="N46" s="59"/>
      <c r="O46" s="59"/>
      <c r="P46" s="59"/>
      <c r="Q46" s="24"/>
    </row>
    <row r="47" spans="1:17">
      <c r="A47" s="16" t="s">
        <v>30</v>
      </c>
      <c r="B47" s="67">
        <v>45</v>
      </c>
      <c r="C47" s="69">
        <v>2.65</v>
      </c>
      <c r="D47" s="69">
        <f t="shared" ref="D47:D53" si="26">$D$264</f>
        <v>2.9</v>
      </c>
      <c r="E47" s="57">
        <f t="shared" ref="E47:E48" si="27">C47*D47</f>
        <v>7.6849999999999996</v>
      </c>
      <c r="F47" s="70">
        <v>1</v>
      </c>
      <c r="G47" s="67">
        <f>1.2*1.5</f>
        <v>1.7999999999999998</v>
      </c>
      <c r="H47" s="57">
        <f>(E47-(F47*G47))</f>
        <v>5.8849999999999998</v>
      </c>
      <c r="I47" s="64">
        <f>$H$265</f>
        <v>1.304</v>
      </c>
      <c r="J47" s="69">
        <v>35</v>
      </c>
      <c r="K47" s="57">
        <f t="shared" ref="K47:K48" si="28">J47*I47</f>
        <v>45.64</v>
      </c>
      <c r="L47" s="58">
        <f t="shared" ref="L47:L48" si="29">H47*I47*J47</f>
        <v>268.59139999999996</v>
      </c>
      <c r="M47" s="17" t="s">
        <v>22</v>
      </c>
      <c r="N47" s="321">
        <f>E59</f>
        <v>74.44</v>
      </c>
      <c r="O47" s="321"/>
      <c r="P47" s="321"/>
      <c r="Q47" s="316"/>
    </row>
    <row r="48" spans="1:17">
      <c r="A48" s="10" t="s">
        <v>31</v>
      </c>
      <c r="B48" s="68">
        <v>15</v>
      </c>
      <c r="C48" s="64">
        <v>2.15</v>
      </c>
      <c r="D48" s="202">
        <f t="shared" si="26"/>
        <v>2.9</v>
      </c>
      <c r="E48" s="55">
        <f t="shared" si="27"/>
        <v>6.2349999999999994</v>
      </c>
      <c r="F48" s="71">
        <v>0</v>
      </c>
      <c r="G48" s="68"/>
      <c r="H48" s="55">
        <f t="shared" ref="H48" si="30">(E48-(F48*G48))</f>
        <v>6.2349999999999994</v>
      </c>
      <c r="I48" s="64">
        <v>2.46</v>
      </c>
      <c r="J48" s="64">
        <v>15</v>
      </c>
      <c r="K48" s="55">
        <f t="shared" si="28"/>
        <v>36.9</v>
      </c>
      <c r="L48" s="47">
        <f t="shared" si="29"/>
        <v>230.07149999999999</v>
      </c>
      <c r="M48" s="46" t="s">
        <v>23</v>
      </c>
      <c r="N48" s="318">
        <f>K60/(N47*(N49-N50))</f>
        <v>0.46872008136946347</v>
      </c>
      <c r="O48" s="318"/>
      <c r="P48" s="318"/>
      <c r="Q48" s="317"/>
    </row>
    <row r="49" spans="1:17">
      <c r="A49" s="10" t="s">
        <v>71</v>
      </c>
      <c r="B49" s="68">
        <v>30</v>
      </c>
      <c r="C49" s="64">
        <v>2.15</v>
      </c>
      <c r="D49" s="202">
        <f t="shared" si="26"/>
        <v>2.9</v>
      </c>
      <c r="E49" s="55">
        <f t="shared" ref="E49:E55" si="31">C49*D49</f>
        <v>6.2349999999999994</v>
      </c>
      <c r="F49" s="71">
        <v>0</v>
      </c>
      <c r="G49" s="68"/>
      <c r="H49" s="55">
        <f>(E49-(F49*G49))</f>
        <v>6.2349999999999994</v>
      </c>
      <c r="I49" s="99">
        <f>$H$266</f>
        <v>1.7210000000000001</v>
      </c>
      <c r="J49" s="64">
        <v>0</v>
      </c>
      <c r="K49" s="55">
        <f>J49*I49</f>
        <v>0</v>
      </c>
      <c r="L49" s="47">
        <f>H49*I49*J49</f>
        <v>0</v>
      </c>
      <c r="M49" s="46" t="s">
        <v>52</v>
      </c>
      <c r="N49" s="319">
        <v>20</v>
      </c>
      <c r="O49" s="319"/>
      <c r="P49" s="319"/>
      <c r="Q49" s="317"/>
    </row>
    <row r="50" spans="1:17">
      <c r="A50" s="10" t="s">
        <v>78</v>
      </c>
      <c r="B50" s="68">
        <v>30</v>
      </c>
      <c r="C50" s="64">
        <v>3.2</v>
      </c>
      <c r="D50" s="202">
        <f t="shared" si="26"/>
        <v>2.9</v>
      </c>
      <c r="E50" s="55">
        <f t="shared" si="31"/>
        <v>9.2799999999999994</v>
      </c>
      <c r="F50" s="71">
        <v>0</v>
      </c>
      <c r="G50" s="68"/>
      <c r="H50" s="55">
        <f>(E50-(F50*G50))</f>
        <v>9.2799999999999994</v>
      </c>
      <c r="I50" s="202">
        <f>$H$266</f>
        <v>1.7210000000000001</v>
      </c>
      <c r="J50" s="64">
        <v>10</v>
      </c>
      <c r="K50" s="55">
        <f>J50*I50</f>
        <v>17.21</v>
      </c>
      <c r="L50" s="47">
        <f>H50*I50*J50</f>
        <v>159.7088</v>
      </c>
      <c r="M50" s="46" t="s">
        <v>53</v>
      </c>
      <c r="N50" s="319">
        <v>-15</v>
      </c>
      <c r="O50" s="319"/>
      <c r="P50" s="319"/>
      <c r="Q50" s="317"/>
    </row>
    <row r="51" spans="1:17">
      <c r="A51" s="10" t="s">
        <v>72</v>
      </c>
      <c r="B51" s="68">
        <v>10</v>
      </c>
      <c r="C51" s="64">
        <v>1.2</v>
      </c>
      <c r="D51" s="202">
        <f t="shared" si="26"/>
        <v>2.9</v>
      </c>
      <c r="E51" s="201">
        <f t="shared" si="31"/>
        <v>3.48</v>
      </c>
      <c r="F51" s="71">
        <v>1</v>
      </c>
      <c r="G51" s="68">
        <f>0.8*2</f>
        <v>1.6</v>
      </c>
      <c r="H51" s="201">
        <f>(E51-(F51*G51))</f>
        <v>1.88</v>
      </c>
      <c r="I51" s="64">
        <f>$H$268</f>
        <v>2.87</v>
      </c>
      <c r="J51" s="64">
        <v>5</v>
      </c>
      <c r="K51" s="201">
        <f>J51*I51</f>
        <v>14.350000000000001</v>
      </c>
      <c r="L51" s="47">
        <f>H51*I51*J51</f>
        <v>26.978000000000002</v>
      </c>
      <c r="M51" s="198"/>
      <c r="N51" s="96"/>
      <c r="O51" s="96"/>
      <c r="P51" s="97"/>
      <c r="Q51" s="317"/>
    </row>
    <row r="52" spans="1:17">
      <c r="A52" s="10" t="s">
        <v>79</v>
      </c>
      <c r="B52" s="68">
        <v>10</v>
      </c>
      <c r="C52" s="64">
        <v>1.1000000000000001</v>
      </c>
      <c r="D52" s="202">
        <f t="shared" si="26"/>
        <v>2.9</v>
      </c>
      <c r="E52" s="201">
        <f t="shared" si="31"/>
        <v>3.19</v>
      </c>
      <c r="F52" s="71">
        <v>0</v>
      </c>
      <c r="G52" s="68"/>
      <c r="H52" s="201">
        <f>(E52-(F52*G52))</f>
        <v>3.19</v>
      </c>
      <c r="I52" s="64">
        <f>$H$268</f>
        <v>2.87</v>
      </c>
      <c r="J52" s="64">
        <v>-4</v>
      </c>
      <c r="K52" s="201">
        <f>J52*I52</f>
        <v>-11.48</v>
      </c>
      <c r="L52" s="47">
        <f>H52*I52*J52</f>
        <v>-36.621200000000002</v>
      </c>
      <c r="M52" s="198"/>
      <c r="N52" s="96"/>
      <c r="O52" s="96"/>
      <c r="P52" s="97"/>
      <c r="Q52" s="317"/>
    </row>
    <row r="53" spans="1:17">
      <c r="A53" s="10" t="s">
        <v>289</v>
      </c>
      <c r="B53" s="68">
        <v>10</v>
      </c>
      <c r="C53" s="64">
        <v>2.75</v>
      </c>
      <c r="D53" s="202">
        <f t="shared" si="26"/>
        <v>2.9</v>
      </c>
      <c r="E53" s="55">
        <f t="shared" si="31"/>
        <v>7.9749999999999996</v>
      </c>
      <c r="F53" s="71">
        <v>1</v>
      </c>
      <c r="G53" s="68">
        <f>0.6*2</f>
        <v>1.2</v>
      </c>
      <c r="H53" s="55">
        <f>(E53-(F53*G53))</f>
        <v>6.7749999999999995</v>
      </c>
      <c r="I53" s="64">
        <f>$H$268</f>
        <v>2.87</v>
      </c>
      <c r="J53" s="64">
        <v>0</v>
      </c>
      <c r="K53" s="55">
        <f>J53*I53</f>
        <v>0</v>
      </c>
      <c r="L53" s="47">
        <f>H53*I53*J53</f>
        <v>0</v>
      </c>
      <c r="M53" s="96"/>
      <c r="N53" s="96"/>
      <c r="O53" s="96"/>
      <c r="P53" s="97"/>
      <c r="Q53" s="317"/>
    </row>
    <row r="54" spans="1:17">
      <c r="A54" s="10" t="s">
        <v>76</v>
      </c>
      <c r="B54" s="68"/>
      <c r="C54" s="64">
        <v>1.2</v>
      </c>
      <c r="D54" s="64">
        <v>1.5</v>
      </c>
      <c r="E54" s="55">
        <f>C54*D54</f>
        <v>1.7999999999999998</v>
      </c>
      <c r="F54" s="71"/>
      <c r="G54" s="68"/>
      <c r="H54" s="55">
        <f t="shared" ref="H54:H58" si="32">(E54-(F54*G54))</f>
        <v>1.7999999999999998</v>
      </c>
      <c r="I54" s="64">
        <f>$H$272</f>
        <v>1.2</v>
      </c>
      <c r="J54" s="64">
        <v>35</v>
      </c>
      <c r="K54" s="55">
        <f t="shared" ref="K54:K58" si="33">J54*I54</f>
        <v>42</v>
      </c>
      <c r="L54" s="47">
        <f t="shared" ref="L54:L58" si="34">H54*I54*J54</f>
        <v>75.599999999999994</v>
      </c>
      <c r="M54" s="52"/>
      <c r="N54" s="53"/>
      <c r="O54" s="53"/>
      <c r="P54" s="54"/>
      <c r="Q54" s="317"/>
    </row>
    <row r="55" spans="1:17">
      <c r="A55" s="10" t="s">
        <v>70</v>
      </c>
      <c r="B55" s="68"/>
      <c r="C55" s="64">
        <v>0.8</v>
      </c>
      <c r="D55" s="64">
        <v>2</v>
      </c>
      <c r="E55" s="55">
        <f t="shared" si="31"/>
        <v>1.6</v>
      </c>
      <c r="F55" s="71"/>
      <c r="G55" s="68"/>
      <c r="H55" s="55">
        <f t="shared" si="32"/>
        <v>1.6</v>
      </c>
      <c r="I55" s="64">
        <f>$H$274</f>
        <v>2</v>
      </c>
      <c r="J55" s="64">
        <v>5</v>
      </c>
      <c r="K55" s="55">
        <f t="shared" si="33"/>
        <v>10</v>
      </c>
      <c r="L55" s="47">
        <f t="shared" si="34"/>
        <v>16</v>
      </c>
      <c r="M55" s="52"/>
      <c r="N55" s="53"/>
      <c r="O55" s="53"/>
      <c r="P55" s="54"/>
      <c r="Q55" s="317"/>
    </row>
    <row r="56" spans="1:17">
      <c r="A56" s="86" t="s">
        <v>74</v>
      </c>
      <c r="B56" s="68"/>
      <c r="C56" s="64">
        <v>0.6</v>
      </c>
      <c r="D56" s="64">
        <v>2</v>
      </c>
      <c r="E56" s="201">
        <f t="shared" ref="E56" si="35">C56*D56</f>
        <v>1.2</v>
      </c>
      <c r="F56" s="71"/>
      <c r="G56" s="68"/>
      <c r="H56" s="201">
        <f t="shared" ref="H56" si="36">(E56-(F56*G56))</f>
        <v>1.2</v>
      </c>
      <c r="I56" s="64">
        <f>$H$274</f>
        <v>2</v>
      </c>
      <c r="J56" s="64">
        <v>0</v>
      </c>
      <c r="K56" s="201">
        <f t="shared" ref="K56" si="37">J56*I56</f>
        <v>0</v>
      </c>
      <c r="L56" s="47">
        <f t="shared" ref="L56" si="38">H56*I56*J56</f>
        <v>0</v>
      </c>
      <c r="M56" s="52"/>
      <c r="N56" s="205"/>
      <c r="O56" s="205"/>
      <c r="P56" s="54"/>
      <c r="Q56" s="317"/>
    </row>
    <row r="57" spans="1:17">
      <c r="A57" s="86" t="s">
        <v>62</v>
      </c>
      <c r="B57" s="87">
        <v>0.24</v>
      </c>
      <c r="C57" s="88"/>
      <c r="D57" s="88"/>
      <c r="E57" s="55">
        <v>12.88</v>
      </c>
      <c r="F57" s="89"/>
      <c r="G57" s="87"/>
      <c r="H57" s="55">
        <f t="shared" si="32"/>
        <v>12.88</v>
      </c>
      <c r="I57" s="64">
        <f>$H$270</f>
        <v>0.88300000000000001</v>
      </c>
      <c r="J57" s="64">
        <v>35</v>
      </c>
      <c r="K57" s="55">
        <f t="shared" si="33"/>
        <v>30.905000000000001</v>
      </c>
      <c r="L57" s="47">
        <f t="shared" si="34"/>
        <v>398.05640000000005</v>
      </c>
      <c r="M57" s="52"/>
      <c r="N57" s="53"/>
      <c r="O57" s="53"/>
      <c r="P57" s="54"/>
      <c r="Q57" s="317"/>
    </row>
    <row r="58" spans="1:17">
      <c r="A58" s="86" t="s">
        <v>63</v>
      </c>
      <c r="B58" s="87"/>
      <c r="C58" s="88">
        <v>3.2</v>
      </c>
      <c r="D58" s="88">
        <v>4.3</v>
      </c>
      <c r="E58" s="55">
        <f>E57</f>
        <v>12.88</v>
      </c>
      <c r="F58" s="89"/>
      <c r="G58" s="87"/>
      <c r="H58" s="55">
        <f t="shared" si="32"/>
        <v>12.88</v>
      </c>
      <c r="I58" s="64">
        <f>$H$271</f>
        <v>1.286</v>
      </c>
      <c r="J58" s="64">
        <v>5</v>
      </c>
      <c r="K58" s="55">
        <f t="shared" si="33"/>
        <v>6.43</v>
      </c>
      <c r="L58" s="47">
        <f t="shared" si="34"/>
        <v>82.818400000000011</v>
      </c>
      <c r="M58" s="52"/>
      <c r="N58" s="53"/>
      <c r="O58" s="53"/>
      <c r="P58" s="54"/>
      <c r="Q58" s="317"/>
    </row>
    <row r="59" spans="1:17" ht="13.5" thickBot="1">
      <c r="A59" s="42"/>
      <c r="B59" s="93"/>
      <c r="C59" s="94"/>
      <c r="D59" s="94"/>
      <c r="E59" s="90">
        <f>SUM(E47:E58)</f>
        <v>74.44</v>
      </c>
      <c r="F59" s="95"/>
      <c r="G59" s="93"/>
      <c r="H59" s="94"/>
      <c r="I59" s="94"/>
      <c r="J59" s="94"/>
      <c r="K59" s="94"/>
      <c r="L59" s="44"/>
      <c r="M59" s="50"/>
      <c r="N59" s="56"/>
      <c r="O59" s="56"/>
      <c r="P59" s="51"/>
      <c r="Q59" s="317"/>
    </row>
    <row r="60" spans="1:17" ht="14.25" thickTop="1" thickBot="1">
      <c r="A60" s="25"/>
      <c r="B60" s="320" t="s">
        <v>17</v>
      </c>
      <c r="C60" s="321"/>
      <c r="D60" s="321"/>
      <c r="E60" s="321"/>
      <c r="F60" s="322"/>
      <c r="G60" s="72"/>
      <c r="H60" s="73"/>
      <c r="I60" s="74"/>
      <c r="J60" s="57" t="s">
        <v>21</v>
      </c>
      <c r="K60" s="321">
        <f>SUM(L47:L59)</f>
        <v>1221.2033000000001</v>
      </c>
      <c r="L60" s="322"/>
      <c r="M60" s="46">
        <f>0.15*N48</f>
        <v>7.0308012205419518E-2</v>
      </c>
      <c r="N60" s="55">
        <v>0</v>
      </c>
      <c r="O60" s="45">
        <v>0.05</v>
      </c>
      <c r="P60" s="55">
        <f>1+O60+N60+M60</f>
        <v>1.1203080122054196</v>
      </c>
      <c r="Q60" s="62"/>
    </row>
    <row r="61" spans="1:17">
      <c r="A61" s="15"/>
      <c r="B61" s="33"/>
      <c r="C61" s="76" t="s">
        <v>65</v>
      </c>
      <c r="D61" s="22">
        <v>1.9000000000000001E-4</v>
      </c>
      <c r="E61" s="22" t="s">
        <v>27</v>
      </c>
      <c r="F61" s="34">
        <v>12</v>
      </c>
      <c r="G61" s="49" t="s">
        <v>25</v>
      </c>
      <c r="H61" s="330">
        <f>(0.5*H46)/3600</f>
        <v>5.1877777777777781E-3</v>
      </c>
      <c r="I61" s="331"/>
      <c r="J61" s="22"/>
      <c r="K61" s="22"/>
      <c r="L61" s="34"/>
      <c r="M61" s="22"/>
      <c r="N61" s="22"/>
      <c r="O61" s="22"/>
      <c r="P61" s="22" t="s">
        <v>24</v>
      </c>
      <c r="Q61" s="23">
        <f>K60*P60</f>
        <v>1368.123841521699</v>
      </c>
    </row>
    <row r="62" spans="1:17" ht="13.5" thickBot="1">
      <c r="A62" s="15"/>
      <c r="B62" s="33"/>
      <c r="C62" s="76" t="s">
        <v>64</v>
      </c>
      <c r="D62" s="66">
        <f>(1.2*0.9)*2</f>
        <v>2.16</v>
      </c>
      <c r="E62" s="22" t="s">
        <v>28</v>
      </c>
      <c r="F62" s="34">
        <v>0.7</v>
      </c>
      <c r="G62" s="35" t="s">
        <v>26</v>
      </c>
      <c r="H62" s="332">
        <f>((D61*D62)*F61*F62)</f>
        <v>3.4473600000000004E-3</v>
      </c>
      <c r="I62" s="333"/>
      <c r="J62" s="22"/>
      <c r="K62" s="22"/>
      <c r="L62" s="34"/>
      <c r="M62" s="22"/>
      <c r="N62" s="22"/>
      <c r="O62" s="22"/>
      <c r="P62" s="22" t="s">
        <v>29</v>
      </c>
      <c r="Q62" s="23">
        <f>1300*(H63*(N49-(N50)))</f>
        <v>236.04388888888892</v>
      </c>
    </row>
    <row r="63" spans="1:17" ht="13.5" thickBot="1">
      <c r="A63" s="25"/>
      <c r="B63" s="36"/>
      <c r="C63" s="26"/>
      <c r="D63" s="75"/>
      <c r="E63" s="75"/>
      <c r="F63" s="40"/>
      <c r="G63" s="41" t="s">
        <v>18</v>
      </c>
      <c r="H63" s="334">
        <f>MAX(H61,H62)</f>
        <v>5.1877777777777781E-3</v>
      </c>
      <c r="I63" s="335"/>
      <c r="J63" s="75"/>
      <c r="K63" s="75"/>
      <c r="L63" s="40"/>
      <c r="M63" s="75"/>
      <c r="N63" s="75"/>
      <c r="O63" s="75"/>
      <c r="P63" s="91" t="s">
        <v>66</v>
      </c>
      <c r="Q63" s="102">
        <f>SUM(Q61:Q62)</f>
        <v>1604.1677304105879</v>
      </c>
    </row>
    <row r="64" spans="1:17" ht="13.5" thickBot="1">
      <c r="A64" s="198"/>
      <c r="B64" s="198"/>
      <c r="C64" s="198"/>
      <c r="D64" s="204"/>
      <c r="E64" s="204"/>
      <c r="F64" s="204"/>
      <c r="G64" s="204"/>
      <c r="H64" s="204"/>
      <c r="I64" s="204"/>
      <c r="J64" s="204"/>
      <c r="K64" s="204"/>
      <c r="L64" s="204"/>
      <c r="M64" s="204"/>
      <c r="N64" s="204"/>
      <c r="O64" s="204"/>
      <c r="P64" s="124"/>
      <c r="Q64" s="125"/>
    </row>
    <row r="65" spans="1:17" ht="13.5" thickBot="1">
      <c r="A65" s="19"/>
      <c r="B65" s="339" t="s">
        <v>290</v>
      </c>
      <c r="C65" s="340"/>
      <c r="D65" s="340"/>
      <c r="E65" s="340"/>
      <c r="F65" s="341"/>
      <c r="G65" s="60" t="s">
        <v>19</v>
      </c>
      <c r="H65" s="342">
        <f>E72*D66</f>
        <v>9.657</v>
      </c>
      <c r="I65" s="342"/>
      <c r="J65" s="59" t="s">
        <v>20</v>
      </c>
      <c r="K65" s="59"/>
      <c r="L65" s="61"/>
      <c r="M65" s="59"/>
      <c r="N65" s="59"/>
      <c r="O65" s="59"/>
      <c r="P65" s="59"/>
      <c r="Q65" s="24"/>
    </row>
    <row r="66" spans="1:17">
      <c r="A66" s="16" t="s">
        <v>30</v>
      </c>
      <c r="B66" s="67">
        <v>45</v>
      </c>
      <c r="C66" s="202">
        <v>1.75</v>
      </c>
      <c r="D66" s="202">
        <f>$D$264</f>
        <v>2.9</v>
      </c>
      <c r="E66" s="196">
        <f t="shared" ref="E66:E68" si="39">C66*D66</f>
        <v>5.0750000000000002</v>
      </c>
      <c r="F66" s="70">
        <v>1</v>
      </c>
      <c r="G66" s="67">
        <f>0.9*0.9</f>
        <v>0.81</v>
      </c>
      <c r="H66" s="196">
        <f>(E66-(F66*G66))</f>
        <v>4.2650000000000006</v>
      </c>
      <c r="I66" s="64">
        <f>$H$265</f>
        <v>1.304</v>
      </c>
      <c r="J66" s="202">
        <v>35</v>
      </c>
      <c r="K66" s="196">
        <f t="shared" ref="K66:K67" si="40">J66*I66</f>
        <v>45.64</v>
      </c>
      <c r="L66" s="197">
        <f t="shared" ref="L66:L67" si="41">H66*I66*J66</f>
        <v>194.65460000000004</v>
      </c>
      <c r="M66" s="17" t="s">
        <v>22</v>
      </c>
      <c r="N66" s="321">
        <f>E73</f>
        <v>30.419999999999995</v>
      </c>
      <c r="O66" s="321"/>
      <c r="P66" s="321"/>
      <c r="Q66" s="316"/>
    </row>
    <row r="67" spans="1:17">
      <c r="A67" s="10" t="s">
        <v>68</v>
      </c>
      <c r="B67" s="68">
        <v>10</v>
      </c>
      <c r="C67" s="64">
        <v>2.75</v>
      </c>
      <c r="D67" s="202">
        <f>$D$264</f>
        <v>2.9</v>
      </c>
      <c r="E67" s="201">
        <f t="shared" si="39"/>
        <v>7.9749999999999996</v>
      </c>
      <c r="F67" s="71">
        <v>1</v>
      </c>
      <c r="G67" s="68">
        <f>0.6*2</f>
        <v>1.2</v>
      </c>
      <c r="H67" s="201">
        <f t="shared" ref="H67" si="42">(E67-(F67*G67))</f>
        <v>6.7749999999999995</v>
      </c>
      <c r="I67" s="64">
        <f>$H$268</f>
        <v>2.87</v>
      </c>
      <c r="J67" s="64">
        <v>0</v>
      </c>
      <c r="K67" s="201">
        <f t="shared" si="40"/>
        <v>0</v>
      </c>
      <c r="L67" s="47">
        <f t="shared" si="41"/>
        <v>0</v>
      </c>
      <c r="M67" s="46" t="s">
        <v>23</v>
      </c>
      <c r="N67" s="318">
        <f>K74/(N66*(N68-N69))</f>
        <v>0.23774222785761256</v>
      </c>
      <c r="O67" s="318"/>
      <c r="P67" s="318"/>
      <c r="Q67" s="317"/>
    </row>
    <row r="68" spans="1:17">
      <c r="A68" s="10" t="s">
        <v>71</v>
      </c>
      <c r="B68" s="68">
        <v>10</v>
      </c>
      <c r="C68" s="64">
        <v>3</v>
      </c>
      <c r="D68" s="202">
        <f>$D$264</f>
        <v>2.9</v>
      </c>
      <c r="E68" s="201">
        <f t="shared" si="39"/>
        <v>8.6999999999999993</v>
      </c>
      <c r="F68" s="71">
        <v>0</v>
      </c>
      <c r="G68" s="68"/>
      <c r="H68" s="201">
        <f>(E68-(F68*G68))</f>
        <v>8.6999999999999993</v>
      </c>
      <c r="I68" s="64">
        <f>$H$268</f>
        <v>2.87</v>
      </c>
      <c r="J68" s="64">
        <v>-4</v>
      </c>
      <c r="K68" s="201">
        <f>J68*I68</f>
        <v>-11.48</v>
      </c>
      <c r="L68" s="47">
        <f>H68*I68*J68</f>
        <v>-99.875999999999991</v>
      </c>
      <c r="M68" s="46" t="s">
        <v>52</v>
      </c>
      <c r="N68" s="319">
        <v>20</v>
      </c>
      <c r="O68" s="319"/>
      <c r="P68" s="319"/>
      <c r="Q68" s="317"/>
    </row>
    <row r="69" spans="1:17">
      <c r="A69" s="10" t="s">
        <v>58</v>
      </c>
      <c r="B69" s="68"/>
      <c r="C69" s="64">
        <v>0.9</v>
      </c>
      <c r="D69" s="64">
        <v>0.9</v>
      </c>
      <c r="E69" s="201">
        <f t="shared" ref="E69" si="43">C69*D69</f>
        <v>0.81</v>
      </c>
      <c r="F69" s="71">
        <v>0</v>
      </c>
      <c r="G69" s="68"/>
      <c r="H69" s="201">
        <f>(E69-(F69*G69))</f>
        <v>0.81</v>
      </c>
      <c r="I69" s="64">
        <f>$H$272</f>
        <v>1.2</v>
      </c>
      <c r="J69" s="64">
        <v>35</v>
      </c>
      <c r="K69" s="201">
        <f>J69*I69</f>
        <v>42</v>
      </c>
      <c r="L69" s="47">
        <f>H69*I69*J69</f>
        <v>34.019999999999996</v>
      </c>
      <c r="M69" s="46" t="s">
        <v>53</v>
      </c>
      <c r="N69" s="319">
        <v>-15</v>
      </c>
      <c r="O69" s="319"/>
      <c r="P69" s="319"/>
      <c r="Q69" s="317"/>
    </row>
    <row r="70" spans="1:17">
      <c r="A70" s="86" t="s">
        <v>74</v>
      </c>
      <c r="B70" s="68"/>
      <c r="C70" s="64">
        <v>0.6</v>
      </c>
      <c r="D70" s="64">
        <v>2</v>
      </c>
      <c r="E70" s="201">
        <f t="shared" ref="E70" si="44">C70*D70</f>
        <v>1.2</v>
      </c>
      <c r="F70" s="71"/>
      <c r="G70" s="68"/>
      <c r="H70" s="201">
        <f t="shared" ref="H70:H72" si="45">(E70-(F70*G70))</f>
        <v>1.2</v>
      </c>
      <c r="I70" s="64">
        <f>$H$274</f>
        <v>2</v>
      </c>
      <c r="J70" s="64">
        <v>0</v>
      </c>
      <c r="K70" s="201">
        <f t="shared" ref="K70:K72" si="46">J70*I70</f>
        <v>0</v>
      </c>
      <c r="L70" s="47">
        <f t="shared" ref="L70:L72" si="47">H70*I70*J70</f>
        <v>0</v>
      </c>
      <c r="M70" s="52"/>
      <c r="N70" s="205"/>
      <c r="O70" s="205"/>
      <c r="P70" s="54"/>
      <c r="Q70" s="317"/>
    </row>
    <row r="71" spans="1:17">
      <c r="A71" s="86" t="s">
        <v>62</v>
      </c>
      <c r="B71" s="87">
        <v>0.24</v>
      </c>
      <c r="C71" s="88"/>
      <c r="D71" s="88"/>
      <c r="E71" s="201">
        <v>3.33</v>
      </c>
      <c r="F71" s="89"/>
      <c r="G71" s="87"/>
      <c r="H71" s="201">
        <f t="shared" si="45"/>
        <v>3.33</v>
      </c>
      <c r="I71" s="64">
        <f>$H$270</f>
        <v>0.88300000000000001</v>
      </c>
      <c r="J71" s="64">
        <v>35</v>
      </c>
      <c r="K71" s="201">
        <f t="shared" si="46"/>
        <v>30.905000000000001</v>
      </c>
      <c r="L71" s="47">
        <f t="shared" si="47"/>
        <v>102.91365</v>
      </c>
      <c r="M71" s="52"/>
      <c r="N71" s="205"/>
      <c r="O71" s="205"/>
      <c r="P71" s="54"/>
      <c r="Q71" s="317"/>
    </row>
    <row r="72" spans="1:17">
      <c r="A72" s="86" t="s">
        <v>63</v>
      </c>
      <c r="B72" s="87"/>
      <c r="C72" s="88">
        <v>3.2</v>
      </c>
      <c r="D72" s="88">
        <v>4.3</v>
      </c>
      <c r="E72" s="201">
        <f>E71</f>
        <v>3.33</v>
      </c>
      <c r="F72" s="89"/>
      <c r="G72" s="87"/>
      <c r="H72" s="201">
        <f t="shared" si="45"/>
        <v>3.33</v>
      </c>
      <c r="I72" s="64">
        <f>$H$271</f>
        <v>1.286</v>
      </c>
      <c r="J72" s="64">
        <v>5</v>
      </c>
      <c r="K72" s="201">
        <f t="shared" si="46"/>
        <v>6.43</v>
      </c>
      <c r="L72" s="47">
        <f t="shared" si="47"/>
        <v>21.411899999999999</v>
      </c>
      <c r="M72" s="52"/>
      <c r="N72" s="205"/>
      <c r="O72" s="205"/>
      <c r="P72" s="54"/>
      <c r="Q72" s="317"/>
    </row>
    <row r="73" spans="1:17" ht="13.5" thickBot="1">
      <c r="A73" s="42"/>
      <c r="B73" s="93"/>
      <c r="C73" s="94"/>
      <c r="D73" s="94"/>
      <c r="E73" s="90">
        <f>SUM(E66:E72)</f>
        <v>30.419999999999995</v>
      </c>
      <c r="F73" s="95"/>
      <c r="G73" s="93"/>
      <c r="H73" s="94"/>
      <c r="I73" s="94"/>
      <c r="J73" s="94"/>
      <c r="K73" s="94"/>
      <c r="L73" s="44"/>
      <c r="M73" s="50"/>
      <c r="N73" s="80"/>
      <c r="O73" s="80"/>
      <c r="P73" s="51"/>
      <c r="Q73" s="317"/>
    </row>
    <row r="74" spans="1:17" ht="14.25" thickTop="1" thickBot="1">
      <c r="A74" s="25"/>
      <c r="B74" s="320" t="s">
        <v>17</v>
      </c>
      <c r="C74" s="321"/>
      <c r="D74" s="321"/>
      <c r="E74" s="321"/>
      <c r="F74" s="322"/>
      <c r="G74" s="72"/>
      <c r="H74" s="73"/>
      <c r="I74" s="74"/>
      <c r="J74" s="196" t="s">
        <v>21</v>
      </c>
      <c r="K74" s="321">
        <f>SUM(L66:L73)</f>
        <v>253.12415000000004</v>
      </c>
      <c r="L74" s="322"/>
      <c r="M74" s="46">
        <f>0.15*N67</f>
        <v>3.5661334178641882E-2</v>
      </c>
      <c r="N74" s="201">
        <v>0</v>
      </c>
      <c r="O74" s="45">
        <v>0.05</v>
      </c>
      <c r="P74" s="201">
        <f>1+O74+N74+M74</f>
        <v>1.0856613341786419</v>
      </c>
      <c r="Q74" s="200"/>
    </row>
    <row r="75" spans="1:17">
      <c r="A75" s="15"/>
      <c r="B75" s="33"/>
      <c r="C75" s="198" t="s">
        <v>65</v>
      </c>
      <c r="D75" s="204">
        <v>1.9000000000000001E-4</v>
      </c>
      <c r="E75" s="204" t="s">
        <v>27</v>
      </c>
      <c r="F75" s="34">
        <v>12</v>
      </c>
      <c r="G75" s="49" t="s">
        <v>25</v>
      </c>
      <c r="H75" s="330">
        <f>(0.5*H65)/3600</f>
        <v>1.34125E-3</v>
      </c>
      <c r="I75" s="331"/>
      <c r="J75" s="204"/>
      <c r="K75" s="204"/>
      <c r="L75" s="34"/>
      <c r="M75" s="204"/>
      <c r="N75" s="204"/>
      <c r="O75" s="204"/>
      <c r="P75" s="204" t="s">
        <v>24</v>
      </c>
      <c r="Q75" s="23">
        <f>K74*P74</f>
        <v>274.8071024018347</v>
      </c>
    </row>
    <row r="76" spans="1:17" ht="13.5" thickBot="1">
      <c r="A76" s="15"/>
      <c r="B76" s="33"/>
      <c r="C76" s="198" t="s">
        <v>64</v>
      </c>
      <c r="D76" s="66">
        <f>(1.2*0.9)*2</f>
        <v>2.16</v>
      </c>
      <c r="E76" s="204" t="s">
        <v>28</v>
      </c>
      <c r="F76" s="34">
        <v>0.7</v>
      </c>
      <c r="G76" s="35" t="s">
        <v>26</v>
      </c>
      <c r="H76" s="332">
        <f>((D75*D76)*F75*F76)</f>
        <v>3.4473600000000004E-3</v>
      </c>
      <c r="I76" s="333"/>
      <c r="J76" s="204"/>
      <c r="K76" s="204"/>
      <c r="L76" s="34"/>
      <c r="M76" s="204"/>
      <c r="N76" s="204"/>
      <c r="O76" s="204"/>
      <c r="P76" s="204" t="s">
        <v>29</v>
      </c>
      <c r="Q76" s="23">
        <f>1300*(H77*(N68-(N69)))</f>
        <v>156.85488000000004</v>
      </c>
    </row>
    <row r="77" spans="1:17" ht="13.5" thickBot="1">
      <c r="A77" s="25"/>
      <c r="B77" s="36"/>
      <c r="C77" s="26"/>
      <c r="D77" s="199"/>
      <c r="E77" s="199"/>
      <c r="F77" s="40"/>
      <c r="G77" s="41" t="s">
        <v>18</v>
      </c>
      <c r="H77" s="334">
        <f>MAX(H75,H76)</f>
        <v>3.4473600000000004E-3</v>
      </c>
      <c r="I77" s="335"/>
      <c r="J77" s="199"/>
      <c r="K77" s="199"/>
      <c r="L77" s="40"/>
      <c r="M77" s="199"/>
      <c r="N77" s="199"/>
      <c r="O77" s="199"/>
      <c r="P77" s="91" t="s">
        <v>66</v>
      </c>
      <c r="Q77" s="102">
        <f>SUM(Q75:Q76)</f>
        <v>431.66198240183473</v>
      </c>
    </row>
    <row r="78" spans="1:17" ht="13.5" thickBot="1">
      <c r="A78" s="198"/>
      <c r="B78" s="198"/>
      <c r="C78" s="198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  <c r="O78" s="204"/>
      <c r="P78" s="124"/>
      <c r="Q78" s="125"/>
    </row>
    <row r="79" spans="1:17" ht="13.5" thickBot="1">
      <c r="A79" s="19"/>
      <c r="B79" s="339" t="s">
        <v>291</v>
      </c>
      <c r="C79" s="340"/>
      <c r="D79" s="340"/>
      <c r="E79" s="340"/>
      <c r="F79" s="341"/>
      <c r="G79" s="60" t="s">
        <v>19</v>
      </c>
      <c r="H79" s="342">
        <f>E87*D80</f>
        <v>13.398000000000003</v>
      </c>
      <c r="I79" s="342"/>
      <c r="J79" s="59" t="s">
        <v>20</v>
      </c>
      <c r="K79" s="59"/>
      <c r="L79" s="61"/>
      <c r="M79" s="59"/>
      <c r="N79" s="59"/>
      <c r="O79" s="59"/>
      <c r="P79" s="59"/>
      <c r="Q79" s="24"/>
    </row>
    <row r="80" spans="1:17">
      <c r="A80" s="16" t="s">
        <v>30</v>
      </c>
      <c r="B80" s="67">
        <v>45</v>
      </c>
      <c r="C80" s="69">
        <v>1.1000000000000001</v>
      </c>
      <c r="D80" s="202">
        <f>$D$264</f>
        <v>2.9</v>
      </c>
      <c r="E80" s="57">
        <f t="shared" ref="E80:E81" si="48">C80*D80</f>
        <v>3.19</v>
      </c>
      <c r="F80" s="70">
        <v>1</v>
      </c>
      <c r="G80" s="67">
        <f>0.6*0.9</f>
        <v>0.54</v>
      </c>
      <c r="H80" s="57">
        <f>(E80-(F80*G80))</f>
        <v>2.65</v>
      </c>
      <c r="I80" s="64">
        <f>$H$265</f>
        <v>1.304</v>
      </c>
      <c r="J80" s="69">
        <v>39</v>
      </c>
      <c r="K80" s="57">
        <f t="shared" ref="K80:K81" si="49">J80*I80</f>
        <v>50.856000000000002</v>
      </c>
      <c r="L80" s="58">
        <f t="shared" ref="L80:L81" si="50">H80*I80*J80</f>
        <v>134.76840000000001</v>
      </c>
      <c r="M80" s="17" t="s">
        <v>22</v>
      </c>
      <c r="N80" s="321">
        <f>E88</f>
        <v>41.720000000000013</v>
      </c>
      <c r="O80" s="321"/>
      <c r="P80" s="321"/>
      <c r="Q80" s="316"/>
    </row>
    <row r="81" spans="1:17">
      <c r="A81" s="10" t="s">
        <v>68</v>
      </c>
      <c r="B81" s="68">
        <v>10</v>
      </c>
      <c r="C81" s="64">
        <f>2+1.1+1.1</f>
        <v>4.2</v>
      </c>
      <c r="D81" s="202">
        <f>$D$264</f>
        <v>2.9</v>
      </c>
      <c r="E81" s="55">
        <f t="shared" si="48"/>
        <v>12.18</v>
      </c>
      <c r="F81" s="71"/>
      <c r="G81" s="68"/>
      <c r="H81" s="55">
        <f t="shared" ref="H81" si="51">(E81-(F81*G81))</f>
        <v>12.18</v>
      </c>
      <c r="I81" s="64">
        <f>$H$268</f>
        <v>2.87</v>
      </c>
      <c r="J81" s="64">
        <v>-4</v>
      </c>
      <c r="K81" s="55">
        <f t="shared" si="49"/>
        <v>-11.48</v>
      </c>
      <c r="L81" s="47">
        <f t="shared" si="50"/>
        <v>-139.82640000000001</v>
      </c>
      <c r="M81" s="46" t="s">
        <v>23</v>
      </c>
      <c r="N81" s="318">
        <f>K89/(N80*(N82-N83))</f>
        <v>0.28740082847800957</v>
      </c>
      <c r="O81" s="318"/>
      <c r="P81" s="318"/>
      <c r="Q81" s="317"/>
    </row>
    <row r="82" spans="1:17">
      <c r="A82" s="10" t="s">
        <v>49</v>
      </c>
      <c r="B82" s="68">
        <v>10</v>
      </c>
      <c r="C82" s="64">
        <v>2.2000000000000002</v>
      </c>
      <c r="D82" s="202">
        <f>$D$264</f>
        <v>2.9</v>
      </c>
      <c r="E82" s="55">
        <f>C82*D82</f>
        <v>6.38</v>
      </c>
      <c r="F82" s="71">
        <v>1</v>
      </c>
      <c r="G82" s="68">
        <f>0.6*2</f>
        <v>1.2</v>
      </c>
      <c r="H82" s="55">
        <f t="shared" ref="H82:H87" si="52">(E82-(F82*G82))</f>
        <v>5.18</v>
      </c>
      <c r="I82" s="64">
        <f>$H$268</f>
        <v>2.87</v>
      </c>
      <c r="J82" s="64">
        <v>9</v>
      </c>
      <c r="K82" s="55">
        <f t="shared" ref="K82:K87" si="53">J82*I82</f>
        <v>25.830000000000002</v>
      </c>
      <c r="L82" s="47">
        <f t="shared" ref="L82:L87" si="54">H82*I82*J82</f>
        <v>133.79939999999999</v>
      </c>
      <c r="M82" s="46" t="s">
        <v>52</v>
      </c>
      <c r="N82" s="319">
        <v>24</v>
      </c>
      <c r="O82" s="319"/>
      <c r="P82" s="319"/>
      <c r="Q82" s="317"/>
    </row>
    <row r="83" spans="1:17">
      <c r="A83" s="10" t="s">
        <v>57</v>
      </c>
      <c r="B83" s="68">
        <v>10</v>
      </c>
      <c r="C83" s="64">
        <v>3.1</v>
      </c>
      <c r="D83" s="202">
        <f>$D$264</f>
        <v>2.9</v>
      </c>
      <c r="E83" s="55">
        <f>C83*D83</f>
        <v>8.99</v>
      </c>
      <c r="F83" s="71"/>
      <c r="G83" s="68"/>
      <c r="H83" s="55">
        <f t="shared" si="52"/>
        <v>8.99</v>
      </c>
      <c r="I83" s="64">
        <f>$H$268</f>
        <v>2.87</v>
      </c>
      <c r="J83" s="64">
        <v>4</v>
      </c>
      <c r="K83" s="55">
        <f t="shared" si="53"/>
        <v>11.48</v>
      </c>
      <c r="L83" s="47">
        <f t="shared" si="54"/>
        <v>103.2052</v>
      </c>
      <c r="M83" s="46" t="s">
        <v>53</v>
      </c>
      <c r="N83" s="319">
        <v>-15</v>
      </c>
      <c r="O83" s="319"/>
      <c r="P83" s="319"/>
      <c r="Q83" s="317"/>
    </row>
    <row r="84" spans="1:17">
      <c r="A84" s="10" t="s">
        <v>75</v>
      </c>
      <c r="B84" s="68"/>
      <c r="C84" s="64">
        <v>0.9</v>
      </c>
      <c r="D84" s="64">
        <v>0.6</v>
      </c>
      <c r="E84" s="55">
        <f>C84*D84</f>
        <v>0.54</v>
      </c>
      <c r="F84" s="71"/>
      <c r="G84" s="68"/>
      <c r="H84" s="55">
        <f t="shared" si="52"/>
        <v>0.54</v>
      </c>
      <c r="I84" s="64">
        <f>$H$272</f>
        <v>1.2</v>
      </c>
      <c r="J84" s="64">
        <v>39</v>
      </c>
      <c r="K84" s="55">
        <f t="shared" si="53"/>
        <v>46.8</v>
      </c>
      <c r="L84" s="47">
        <f t="shared" si="54"/>
        <v>25.272000000000002</v>
      </c>
      <c r="M84" s="76"/>
      <c r="N84" s="96"/>
      <c r="O84" s="96"/>
      <c r="P84" s="97"/>
      <c r="Q84" s="317"/>
    </row>
    <row r="85" spans="1:17">
      <c r="A85" s="10" t="s">
        <v>74</v>
      </c>
      <c r="B85" s="68"/>
      <c r="C85" s="64">
        <v>0.6</v>
      </c>
      <c r="D85" s="64">
        <v>2</v>
      </c>
      <c r="E85" s="55">
        <f>C85*D85</f>
        <v>1.2</v>
      </c>
      <c r="F85" s="71"/>
      <c r="G85" s="68"/>
      <c r="H85" s="55">
        <f t="shared" si="52"/>
        <v>1.2</v>
      </c>
      <c r="I85" s="64">
        <f>$H$274</f>
        <v>2</v>
      </c>
      <c r="J85" s="64">
        <v>9</v>
      </c>
      <c r="K85" s="55">
        <f t="shared" si="53"/>
        <v>18</v>
      </c>
      <c r="L85" s="47">
        <f t="shared" si="54"/>
        <v>21.599999999999998</v>
      </c>
      <c r="M85" s="96"/>
      <c r="N85" s="96"/>
      <c r="O85" s="96"/>
      <c r="P85" s="97"/>
      <c r="Q85" s="317"/>
    </row>
    <row r="86" spans="1:17">
      <c r="A86" s="86" t="s">
        <v>62</v>
      </c>
      <c r="B86" s="87">
        <v>58</v>
      </c>
      <c r="C86" s="88"/>
      <c r="D86" s="88"/>
      <c r="E86" s="55">
        <f>1.1*2+2.2*1.1</f>
        <v>4.620000000000001</v>
      </c>
      <c r="F86" s="89"/>
      <c r="G86" s="87"/>
      <c r="H86" s="55">
        <f t="shared" si="52"/>
        <v>4.620000000000001</v>
      </c>
      <c r="I86" s="64">
        <f>$H$270</f>
        <v>0.88300000000000001</v>
      </c>
      <c r="J86" s="64">
        <v>39</v>
      </c>
      <c r="K86" s="55">
        <f t="shared" si="53"/>
        <v>34.436999999999998</v>
      </c>
      <c r="L86" s="47">
        <f t="shared" si="54"/>
        <v>159.09894000000003</v>
      </c>
      <c r="M86" s="52"/>
      <c r="N86" s="53"/>
      <c r="O86" s="53"/>
      <c r="P86" s="54"/>
      <c r="Q86" s="317"/>
    </row>
    <row r="87" spans="1:17">
      <c r="A87" s="86" t="s">
        <v>63</v>
      </c>
      <c r="B87" s="87"/>
      <c r="C87" s="88"/>
      <c r="D87" s="88"/>
      <c r="E87" s="55">
        <f>E86</f>
        <v>4.620000000000001</v>
      </c>
      <c r="F87" s="89"/>
      <c r="G87" s="87"/>
      <c r="H87" s="55">
        <f t="shared" si="52"/>
        <v>4.620000000000001</v>
      </c>
      <c r="I87" s="64">
        <f>$H$271</f>
        <v>1.286</v>
      </c>
      <c r="J87" s="64">
        <v>5</v>
      </c>
      <c r="K87" s="55">
        <f t="shared" si="53"/>
        <v>6.43</v>
      </c>
      <c r="L87" s="47">
        <f t="shared" si="54"/>
        <v>29.706600000000005</v>
      </c>
      <c r="M87" s="52"/>
      <c r="N87" s="53"/>
      <c r="O87" s="53"/>
      <c r="P87" s="54"/>
      <c r="Q87" s="317"/>
    </row>
    <row r="88" spans="1:17" ht="13.5" thickBot="1">
      <c r="A88" s="42"/>
      <c r="B88" s="93"/>
      <c r="C88" s="94"/>
      <c r="D88" s="94"/>
      <c r="E88" s="90">
        <f>SUM(E80:E87)</f>
        <v>41.720000000000013</v>
      </c>
      <c r="F88" s="95"/>
      <c r="G88" s="93"/>
      <c r="H88" s="94"/>
      <c r="I88" s="94"/>
      <c r="J88" s="94"/>
      <c r="K88" s="94"/>
      <c r="L88" s="44"/>
      <c r="M88" s="50"/>
      <c r="N88" s="56"/>
      <c r="O88" s="56"/>
      <c r="P88" s="51"/>
      <c r="Q88" s="317"/>
    </row>
    <row r="89" spans="1:17" ht="14.25" thickTop="1" thickBot="1">
      <c r="A89" s="25"/>
      <c r="B89" s="320" t="s">
        <v>17</v>
      </c>
      <c r="C89" s="321"/>
      <c r="D89" s="321"/>
      <c r="E89" s="321"/>
      <c r="F89" s="322"/>
      <c r="G89" s="72"/>
      <c r="H89" s="73"/>
      <c r="I89" s="74"/>
      <c r="J89" s="57" t="s">
        <v>21</v>
      </c>
      <c r="K89" s="321">
        <f>SUM(L80:L88)</f>
        <v>467.62414000000001</v>
      </c>
      <c r="L89" s="322"/>
      <c r="M89" s="46">
        <f>0.15*N81</f>
        <v>4.3110124271701432E-2</v>
      </c>
      <c r="N89" s="55">
        <v>0</v>
      </c>
      <c r="O89" s="45">
        <v>0.05</v>
      </c>
      <c r="P89" s="55">
        <f>1+O89+N89+M89</f>
        <v>1.0931101242717014</v>
      </c>
      <c r="Q89" s="62"/>
    </row>
    <row r="90" spans="1:17">
      <c r="A90" s="15"/>
      <c r="B90" s="33"/>
      <c r="C90" s="76" t="s">
        <v>65</v>
      </c>
      <c r="D90" s="22">
        <v>1.9000000000000001E-4</v>
      </c>
      <c r="E90" s="22" t="s">
        <v>27</v>
      </c>
      <c r="F90" s="34">
        <v>12</v>
      </c>
      <c r="G90" s="49" t="s">
        <v>25</v>
      </c>
      <c r="H90" s="330">
        <f>(0.5*H79)/3600</f>
        <v>1.8608333333333337E-3</v>
      </c>
      <c r="I90" s="331"/>
      <c r="J90" s="22"/>
      <c r="K90" s="22"/>
      <c r="L90" s="34"/>
      <c r="M90" s="22"/>
      <c r="N90" s="22"/>
      <c r="O90" s="22"/>
      <c r="P90" s="22" t="s">
        <v>24</v>
      </c>
      <c r="Q90" s="23">
        <f>K89*P89</f>
        <v>511.16468178784748</v>
      </c>
    </row>
    <row r="91" spans="1:17" ht="13.5" thickBot="1">
      <c r="A91" s="15"/>
      <c r="B91" s="33"/>
      <c r="C91" s="76" t="s">
        <v>64</v>
      </c>
      <c r="D91" s="66">
        <f>(0.9+0.6)*2</f>
        <v>3</v>
      </c>
      <c r="E91" s="22" t="s">
        <v>28</v>
      </c>
      <c r="F91" s="34">
        <v>0.7</v>
      </c>
      <c r="G91" s="35" t="s">
        <v>26</v>
      </c>
      <c r="H91" s="332">
        <f>((D90*D91)*F90*F91)</f>
        <v>4.7879999999999997E-3</v>
      </c>
      <c r="I91" s="333"/>
      <c r="J91" s="22"/>
      <c r="K91" s="22"/>
      <c r="L91" s="34"/>
      <c r="M91" s="22"/>
      <c r="N91" s="22"/>
      <c r="O91" s="22"/>
      <c r="P91" s="22" t="s">
        <v>29</v>
      </c>
      <c r="Q91" s="23">
        <f>1300*(H92*(N82-(N83)))</f>
        <v>242.75159999999997</v>
      </c>
    </row>
    <row r="92" spans="1:17" ht="13.5" thickBot="1">
      <c r="A92" s="25"/>
      <c r="B92" s="36"/>
      <c r="C92" s="26"/>
      <c r="D92" s="75"/>
      <c r="E92" s="75"/>
      <c r="F92" s="40"/>
      <c r="G92" s="41" t="s">
        <v>18</v>
      </c>
      <c r="H92" s="334">
        <f>MAX(H90,H91)</f>
        <v>4.7879999999999997E-3</v>
      </c>
      <c r="I92" s="335"/>
      <c r="J92" s="75"/>
      <c r="K92" s="75"/>
      <c r="L92" s="40"/>
      <c r="M92" s="75"/>
      <c r="N92" s="75"/>
      <c r="O92" s="75"/>
      <c r="P92" s="91" t="s">
        <v>66</v>
      </c>
      <c r="Q92" s="102">
        <f>SUM(Q90:Q91)</f>
        <v>753.91628178784742</v>
      </c>
    </row>
    <row r="93" spans="1:17" ht="13.5" thickBot="1">
      <c r="A93" s="76"/>
      <c r="B93" s="76"/>
      <c r="C93" s="76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7"/>
    </row>
    <row r="94" spans="1:17" ht="13.5" thickBot="1">
      <c r="A94" s="19"/>
      <c r="B94" s="339" t="s">
        <v>292</v>
      </c>
      <c r="C94" s="340"/>
      <c r="D94" s="340"/>
      <c r="E94" s="340"/>
      <c r="F94" s="341"/>
      <c r="G94" s="60" t="s">
        <v>19</v>
      </c>
      <c r="H94" s="342">
        <f>E105*D95</f>
        <v>11.005500000000001</v>
      </c>
      <c r="I94" s="342"/>
      <c r="J94" s="59" t="s">
        <v>20</v>
      </c>
      <c r="K94" s="59"/>
      <c r="L94" s="61"/>
      <c r="M94" s="59"/>
      <c r="N94" s="59"/>
      <c r="O94" s="59"/>
      <c r="P94" s="59"/>
      <c r="Q94" s="24"/>
    </row>
    <row r="95" spans="1:17">
      <c r="A95" s="16" t="s">
        <v>32</v>
      </c>
      <c r="B95" s="67">
        <v>10</v>
      </c>
      <c r="C95" s="69">
        <v>1.05</v>
      </c>
      <c r="D95" s="202">
        <f>$D$264</f>
        <v>2.9</v>
      </c>
      <c r="E95" s="57">
        <f t="shared" ref="E95:E96" si="55">C95*D95</f>
        <v>3.0449999999999999</v>
      </c>
      <c r="F95" s="70">
        <v>1</v>
      </c>
      <c r="G95" s="67">
        <f>0.6*2</f>
        <v>1.2</v>
      </c>
      <c r="H95" s="57">
        <f>(E95-(F95*G95))</f>
        <v>1.845</v>
      </c>
      <c r="I95" s="64">
        <f>$H$268</f>
        <v>2.87</v>
      </c>
      <c r="J95" s="69">
        <v>-5</v>
      </c>
      <c r="K95" s="57">
        <f t="shared" ref="K95:K96" si="56">J95*I95</f>
        <v>-14.350000000000001</v>
      </c>
      <c r="L95" s="58">
        <f t="shared" ref="L95:L96" si="57">H95*I95*J95</f>
        <v>-26.475750000000001</v>
      </c>
      <c r="M95" s="17" t="s">
        <v>22</v>
      </c>
      <c r="N95" s="321">
        <f>E106</f>
        <v>42.78</v>
      </c>
      <c r="O95" s="321"/>
      <c r="P95" s="321"/>
      <c r="Q95" s="316"/>
    </row>
    <row r="96" spans="1:17">
      <c r="A96" s="10" t="s">
        <v>68</v>
      </c>
      <c r="B96" s="68">
        <v>10</v>
      </c>
      <c r="C96" s="64">
        <v>2.4</v>
      </c>
      <c r="D96" s="202">
        <f>$D$264</f>
        <v>2.9</v>
      </c>
      <c r="E96" s="55">
        <f t="shared" si="55"/>
        <v>6.96</v>
      </c>
      <c r="F96" s="71">
        <v>1</v>
      </c>
      <c r="G96" s="68">
        <f>0.6*2</f>
        <v>1.2</v>
      </c>
      <c r="H96" s="55">
        <f t="shared" ref="H96" si="58">(E96-(F96*G96))</f>
        <v>5.76</v>
      </c>
      <c r="I96" s="64">
        <f>$H$268</f>
        <v>2.87</v>
      </c>
      <c r="J96" s="64">
        <v>-9</v>
      </c>
      <c r="K96" s="55">
        <f t="shared" si="56"/>
        <v>-25.830000000000002</v>
      </c>
      <c r="L96" s="47">
        <f t="shared" si="57"/>
        <v>-148.7808</v>
      </c>
      <c r="M96" s="46" t="s">
        <v>23</v>
      </c>
      <c r="N96" s="318">
        <f>K107/(N95*(N97-N98))</f>
        <v>-0.12588292815957611</v>
      </c>
      <c r="O96" s="318"/>
      <c r="P96" s="318"/>
      <c r="Q96" s="317"/>
    </row>
    <row r="97" spans="1:17">
      <c r="A97" s="10" t="s">
        <v>71</v>
      </c>
      <c r="B97" s="68">
        <v>10</v>
      </c>
      <c r="C97" s="64">
        <v>1.1000000000000001</v>
      </c>
      <c r="D97" s="202">
        <f>$D$264</f>
        <v>2.9</v>
      </c>
      <c r="E97" s="55">
        <f>C97*D97</f>
        <v>3.19</v>
      </c>
      <c r="F97" s="71">
        <v>1</v>
      </c>
      <c r="G97" s="68">
        <f>0.8*2</f>
        <v>1.6</v>
      </c>
      <c r="H97" s="55">
        <f t="shared" ref="H97:H105" si="59">(E97-(F97*G97))</f>
        <v>1.5899999999999999</v>
      </c>
      <c r="I97" s="64">
        <f>$H$268</f>
        <v>2.87</v>
      </c>
      <c r="J97" s="64">
        <v>-5</v>
      </c>
      <c r="K97" s="55">
        <f t="shared" ref="K97:K105" si="60">J97*I97</f>
        <v>-14.350000000000001</v>
      </c>
      <c r="L97" s="47">
        <f t="shared" ref="L97:L105" si="61">H97*I97*J97</f>
        <v>-22.816499999999998</v>
      </c>
      <c r="M97" s="46" t="s">
        <v>52</v>
      </c>
      <c r="N97" s="319">
        <v>15</v>
      </c>
      <c r="O97" s="319"/>
      <c r="P97" s="319"/>
      <c r="Q97" s="317"/>
    </row>
    <row r="98" spans="1:17">
      <c r="A98" s="10" t="s">
        <v>57</v>
      </c>
      <c r="B98" s="68">
        <v>30</v>
      </c>
      <c r="C98" s="64">
        <v>3.45</v>
      </c>
      <c r="D98" s="202">
        <f>$D$264</f>
        <v>2.9</v>
      </c>
      <c r="E98" s="55">
        <f>C98*D98</f>
        <v>10.005000000000001</v>
      </c>
      <c r="F98" s="71">
        <v>2</v>
      </c>
      <c r="G98" s="68">
        <f>0.8*2</f>
        <v>1.6</v>
      </c>
      <c r="H98" s="55">
        <f t="shared" si="59"/>
        <v>6.8050000000000006</v>
      </c>
      <c r="I98" s="64">
        <f>$H$266</f>
        <v>1.7210000000000001</v>
      </c>
      <c r="J98" s="64">
        <v>0</v>
      </c>
      <c r="K98" s="55">
        <f t="shared" si="60"/>
        <v>0</v>
      </c>
      <c r="L98" s="47">
        <f t="shared" si="61"/>
        <v>0</v>
      </c>
      <c r="M98" s="46" t="s">
        <v>53</v>
      </c>
      <c r="N98" s="319">
        <v>-15</v>
      </c>
      <c r="O98" s="319"/>
      <c r="P98" s="319"/>
      <c r="Q98" s="317"/>
    </row>
    <row r="99" spans="1:17">
      <c r="A99" s="10" t="s">
        <v>77</v>
      </c>
      <c r="B99" s="68">
        <v>10</v>
      </c>
      <c r="C99" s="64">
        <v>1.1000000000000001</v>
      </c>
      <c r="D99" s="202">
        <f>$D$264</f>
        <v>2.9</v>
      </c>
      <c r="E99" s="201">
        <f>C99*D99</f>
        <v>3.19</v>
      </c>
      <c r="F99" s="71">
        <v>1</v>
      </c>
      <c r="G99" s="68">
        <f>0.8*2</f>
        <v>1.6</v>
      </c>
      <c r="H99" s="201">
        <f t="shared" ref="H99" si="62">(E99-(F99*G99))</f>
        <v>1.5899999999999999</v>
      </c>
      <c r="I99" s="64">
        <f>$H$268</f>
        <v>2.87</v>
      </c>
      <c r="J99" s="64">
        <v>-5</v>
      </c>
      <c r="K99" s="201">
        <f t="shared" ref="K99" si="63">J99*I99</f>
        <v>-14.350000000000001</v>
      </c>
      <c r="L99" s="47">
        <f t="shared" ref="L99" si="64">H99*I99*J99</f>
        <v>-22.816499999999998</v>
      </c>
      <c r="M99" s="198"/>
      <c r="N99" s="96"/>
      <c r="O99" s="96"/>
      <c r="P99" s="97"/>
      <c r="Q99" s="317"/>
    </row>
    <row r="100" spans="1:17">
      <c r="A100" s="10" t="s">
        <v>70</v>
      </c>
      <c r="B100" s="68"/>
      <c r="C100" s="64">
        <v>0.6</v>
      </c>
      <c r="D100" s="64">
        <v>2</v>
      </c>
      <c r="E100" s="201">
        <f>C100*D100</f>
        <v>1.2</v>
      </c>
      <c r="F100" s="71"/>
      <c r="G100" s="68"/>
      <c r="H100" s="201">
        <f t="shared" ref="H100" si="65">(E100-(F100*G100))</f>
        <v>1.2</v>
      </c>
      <c r="I100" s="64">
        <f>$H$274</f>
        <v>2</v>
      </c>
      <c r="J100" s="64">
        <v>-5</v>
      </c>
      <c r="K100" s="201">
        <f t="shared" ref="K100" si="66">J100*I100</f>
        <v>-10</v>
      </c>
      <c r="L100" s="47">
        <f t="shared" ref="L100" si="67">H100*I100*J100</f>
        <v>-12</v>
      </c>
      <c r="M100" s="198"/>
      <c r="N100" s="96"/>
      <c r="O100" s="96"/>
      <c r="P100" s="97"/>
      <c r="Q100" s="317"/>
    </row>
    <row r="101" spans="1:17">
      <c r="A101" s="10" t="s">
        <v>70</v>
      </c>
      <c r="B101" s="68"/>
      <c r="C101" s="64">
        <v>0.6</v>
      </c>
      <c r="D101" s="64">
        <v>2</v>
      </c>
      <c r="E101" s="55">
        <f>C101*D101</f>
        <v>1.2</v>
      </c>
      <c r="F101" s="71"/>
      <c r="G101" s="68"/>
      <c r="H101" s="55">
        <f t="shared" si="59"/>
        <v>1.2</v>
      </c>
      <c r="I101" s="64">
        <f>$H$274</f>
        <v>2</v>
      </c>
      <c r="J101" s="64">
        <v>-9</v>
      </c>
      <c r="K101" s="55">
        <f t="shared" si="60"/>
        <v>-18</v>
      </c>
      <c r="L101" s="47">
        <f t="shared" si="61"/>
        <v>-21.599999999999998</v>
      </c>
      <c r="M101" s="76"/>
      <c r="N101" s="96"/>
      <c r="O101" s="96"/>
      <c r="P101" s="97"/>
      <c r="Q101" s="317"/>
    </row>
    <row r="102" spans="1:17">
      <c r="A102" s="10" t="s">
        <v>74</v>
      </c>
      <c r="B102" s="68"/>
      <c r="C102" s="64">
        <v>0.8</v>
      </c>
      <c r="D102" s="64">
        <v>2</v>
      </c>
      <c r="E102" s="55">
        <f>C102*D102*2</f>
        <v>3.2</v>
      </c>
      <c r="F102" s="71"/>
      <c r="G102" s="68"/>
      <c r="H102" s="55">
        <f t="shared" si="59"/>
        <v>3.2</v>
      </c>
      <c r="I102" s="64">
        <f>$H$274</f>
        <v>2</v>
      </c>
      <c r="J102" s="64">
        <v>-5</v>
      </c>
      <c r="K102" s="55">
        <f t="shared" si="60"/>
        <v>-10</v>
      </c>
      <c r="L102" s="47">
        <f t="shared" si="61"/>
        <v>-32</v>
      </c>
      <c r="M102" s="96"/>
      <c r="N102" s="96"/>
      <c r="O102" s="96"/>
      <c r="P102" s="97"/>
      <c r="Q102" s="317"/>
    </row>
    <row r="103" spans="1:17">
      <c r="A103" s="86" t="s">
        <v>74</v>
      </c>
      <c r="B103" s="87"/>
      <c r="C103" s="88">
        <v>0.8</v>
      </c>
      <c r="D103" s="88">
        <v>2</v>
      </c>
      <c r="E103" s="191">
        <f>C103*D103*2</f>
        <v>3.2</v>
      </c>
      <c r="F103" s="89"/>
      <c r="G103" s="87"/>
      <c r="H103" s="191">
        <f t="shared" si="59"/>
        <v>3.2</v>
      </c>
      <c r="I103" s="64">
        <f>$H$274</f>
        <v>2</v>
      </c>
      <c r="J103" s="64">
        <v>0</v>
      </c>
      <c r="K103" s="191">
        <f t="shared" si="60"/>
        <v>0</v>
      </c>
      <c r="L103" s="47">
        <f t="shared" si="61"/>
        <v>0</v>
      </c>
      <c r="M103" s="96"/>
      <c r="N103" s="96"/>
      <c r="O103" s="96"/>
      <c r="P103" s="97"/>
      <c r="Q103" s="317"/>
    </row>
    <row r="104" spans="1:17">
      <c r="A104" s="86" t="s">
        <v>62</v>
      </c>
      <c r="B104" s="87">
        <v>58</v>
      </c>
      <c r="C104" s="88">
        <v>2</v>
      </c>
      <c r="D104" s="88">
        <v>1.1000000000000001</v>
      </c>
      <c r="E104" s="55">
        <f>3.45*1.1</f>
        <v>3.7950000000000004</v>
      </c>
      <c r="F104" s="89"/>
      <c r="G104" s="87"/>
      <c r="H104" s="55">
        <f t="shared" si="59"/>
        <v>3.7950000000000004</v>
      </c>
      <c r="I104" s="64">
        <f>$H$270</f>
        <v>0.88300000000000001</v>
      </c>
      <c r="J104" s="64">
        <v>30</v>
      </c>
      <c r="K104" s="55">
        <f t="shared" si="60"/>
        <v>26.490000000000002</v>
      </c>
      <c r="L104" s="47">
        <f t="shared" si="61"/>
        <v>100.52955000000001</v>
      </c>
      <c r="M104" s="52"/>
      <c r="N104" s="53"/>
      <c r="O104" s="53"/>
      <c r="P104" s="54"/>
      <c r="Q104" s="317"/>
    </row>
    <row r="105" spans="1:17">
      <c r="A105" s="86" t="s">
        <v>63</v>
      </c>
      <c r="B105" s="87"/>
      <c r="C105" s="88">
        <v>2</v>
      </c>
      <c r="D105" s="88">
        <v>1.1000000000000001</v>
      </c>
      <c r="E105" s="55">
        <f>E104</f>
        <v>3.7950000000000004</v>
      </c>
      <c r="F105" s="89"/>
      <c r="G105" s="87"/>
      <c r="H105" s="55">
        <f t="shared" si="59"/>
        <v>3.7950000000000004</v>
      </c>
      <c r="I105" s="64">
        <f>$H$271</f>
        <v>1.286</v>
      </c>
      <c r="J105" s="64">
        <v>5</v>
      </c>
      <c r="K105" s="55">
        <f t="shared" si="60"/>
        <v>6.43</v>
      </c>
      <c r="L105" s="47">
        <f t="shared" si="61"/>
        <v>24.401850000000003</v>
      </c>
      <c r="M105" s="52"/>
      <c r="N105" s="53"/>
      <c r="O105" s="53"/>
      <c r="P105" s="54"/>
      <c r="Q105" s="317"/>
    </row>
    <row r="106" spans="1:17" ht="13.5" thickBot="1">
      <c r="A106" s="42"/>
      <c r="B106" s="93"/>
      <c r="C106" s="94"/>
      <c r="D106" s="94"/>
      <c r="E106" s="90">
        <f>SUM(E95:E105)</f>
        <v>42.78</v>
      </c>
      <c r="F106" s="95"/>
      <c r="G106" s="93"/>
      <c r="H106" s="94"/>
      <c r="I106" s="94"/>
      <c r="J106" s="94"/>
      <c r="K106" s="94"/>
      <c r="L106" s="44"/>
      <c r="M106" s="50"/>
      <c r="N106" s="56"/>
      <c r="O106" s="56"/>
      <c r="P106" s="51"/>
      <c r="Q106" s="317"/>
    </row>
    <row r="107" spans="1:17" ht="14.25" thickTop="1" thickBot="1">
      <c r="A107" s="25"/>
      <c r="B107" s="320" t="s">
        <v>17</v>
      </c>
      <c r="C107" s="321"/>
      <c r="D107" s="321"/>
      <c r="E107" s="321"/>
      <c r="F107" s="322"/>
      <c r="G107" s="72"/>
      <c r="H107" s="73"/>
      <c r="I107" s="74"/>
      <c r="J107" s="57" t="s">
        <v>21</v>
      </c>
      <c r="K107" s="321">
        <f>SUM(L95:L106)</f>
        <v>-161.55814999999998</v>
      </c>
      <c r="L107" s="322"/>
      <c r="M107" s="46">
        <f>0.15*N96</f>
        <v>-1.8882439223936415E-2</v>
      </c>
      <c r="N107" s="55">
        <v>0</v>
      </c>
      <c r="O107" s="45">
        <v>0</v>
      </c>
      <c r="P107" s="55">
        <f>1+O107+N107+M107</f>
        <v>0.9811175607760636</v>
      </c>
      <c r="Q107" s="62"/>
    </row>
    <row r="108" spans="1:17">
      <c r="A108" s="15"/>
      <c r="B108" s="33"/>
      <c r="C108" s="76" t="s">
        <v>65</v>
      </c>
      <c r="D108" s="22">
        <v>1.9000000000000001E-4</v>
      </c>
      <c r="E108" s="22" t="s">
        <v>27</v>
      </c>
      <c r="F108" s="34">
        <v>12</v>
      </c>
      <c r="G108" s="49" t="s">
        <v>25</v>
      </c>
      <c r="H108" s="330">
        <f>(0.5*H94)/3600</f>
        <v>1.5285416666666668E-3</v>
      </c>
      <c r="I108" s="331"/>
      <c r="J108" s="22"/>
      <c r="K108" s="22"/>
      <c r="L108" s="34"/>
      <c r="M108" s="22"/>
      <c r="N108" s="22"/>
      <c r="O108" s="22"/>
      <c r="P108" s="22" t="s">
        <v>24</v>
      </c>
      <c r="Q108" s="23">
        <f>K107*P107</f>
        <v>-158.50753805149338</v>
      </c>
    </row>
    <row r="109" spans="1:17" ht="13.5" thickBot="1">
      <c r="A109" s="15"/>
      <c r="B109" s="33"/>
      <c r="C109" s="76" t="s">
        <v>64</v>
      </c>
      <c r="D109" s="66">
        <v>0</v>
      </c>
      <c r="E109" s="22" t="s">
        <v>28</v>
      </c>
      <c r="F109" s="34">
        <v>0.7</v>
      </c>
      <c r="G109" s="35" t="s">
        <v>26</v>
      </c>
      <c r="H109" s="332">
        <f>((D108*D109)*F108*F109)</f>
        <v>0</v>
      </c>
      <c r="I109" s="333"/>
      <c r="J109" s="22"/>
      <c r="K109" s="22"/>
      <c r="L109" s="34"/>
      <c r="M109" s="22"/>
      <c r="N109" s="22"/>
      <c r="O109" s="22"/>
      <c r="P109" s="22" t="s">
        <v>29</v>
      </c>
      <c r="Q109" s="23">
        <f>1300*(H110*(N97-(N98)))</f>
        <v>59.613125000000004</v>
      </c>
    </row>
    <row r="110" spans="1:17" ht="13.5" thickBot="1">
      <c r="A110" s="25"/>
      <c r="B110" s="36"/>
      <c r="C110" s="26"/>
      <c r="D110" s="75"/>
      <c r="E110" s="75"/>
      <c r="F110" s="40"/>
      <c r="G110" s="41" t="s">
        <v>18</v>
      </c>
      <c r="H110" s="334">
        <f>MAX(H108,H109)</f>
        <v>1.5285416666666668E-3</v>
      </c>
      <c r="I110" s="335"/>
      <c r="J110" s="75"/>
      <c r="K110" s="75"/>
      <c r="L110" s="40"/>
      <c r="M110" s="75"/>
      <c r="N110" s="75"/>
      <c r="O110" s="75"/>
      <c r="P110" s="91" t="s">
        <v>66</v>
      </c>
      <c r="Q110" s="102">
        <f>SUM(Q108:Q109)</f>
        <v>-98.894413051493387</v>
      </c>
    </row>
    <row r="111" spans="1:17" ht="13.5" thickBot="1">
      <c r="A111" s="76"/>
      <c r="B111" s="76"/>
      <c r="C111" s="76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7"/>
    </row>
    <row r="112" spans="1:17" ht="13.5" thickBot="1">
      <c r="A112" s="19"/>
      <c r="B112" s="339" t="s">
        <v>293</v>
      </c>
      <c r="C112" s="340"/>
      <c r="D112" s="340"/>
      <c r="E112" s="340"/>
      <c r="F112" s="341"/>
      <c r="G112" s="60" t="s">
        <v>19</v>
      </c>
      <c r="H112" s="342">
        <f>E120*D113</f>
        <v>15.978999999999996</v>
      </c>
      <c r="I112" s="342"/>
      <c r="J112" s="59" t="s">
        <v>20</v>
      </c>
      <c r="K112" s="59"/>
      <c r="L112" s="61"/>
      <c r="M112" s="59"/>
      <c r="N112" s="59"/>
      <c r="O112" s="59"/>
      <c r="P112" s="59"/>
      <c r="Q112" s="24"/>
    </row>
    <row r="113" spans="1:17">
      <c r="A113" s="16" t="s">
        <v>30</v>
      </c>
      <c r="B113" s="67">
        <v>45</v>
      </c>
      <c r="C113" s="77">
        <v>2.2999999999999998</v>
      </c>
      <c r="D113" s="202">
        <f>$D$264</f>
        <v>2.9</v>
      </c>
      <c r="E113" s="84">
        <f t="shared" ref="E113:E114" si="68">C113*D113</f>
        <v>6.669999999999999</v>
      </c>
      <c r="F113" s="70">
        <v>2</v>
      </c>
      <c r="G113" s="67">
        <f>0.6*0.9</f>
        <v>0.54</v>
      </c>
      <c r="H113" s="84">
        <f>(E113-(F113*G113))</f>
        <v>5.589999999999999</v>
      </c>
      <c r="I113" s="64">
        <f>$H$265</f>
        <v>1.304</v>
      </c>
      <c r="J113" s="77">
        <v>35</v>
      </c>
      <c r="K113" s="84">
        <f t="shared" ref="K113:K120" si="69">J113*I113</f>
        <v>45.64</v>
      </c>
      <c r="L113" s="85">
        <f t="shared" ref="L113:L120" si="70">H113*I113*J113</f>
        <v>255.12759999999994</v>
      </c>
      <c r="M113" s="17" t="s">
        <v>22</v>
      </c>
      <c r="N113" s="321">
        <f>E121</f>
        <v>44.62</v>
      </c>
      <c r="O113" s="321"/>
      <c r="P113" s="321"/>
      <c r="Q113" s="316"/>
    </row>
    <row r="114" spans="1:17">
      <c r="A114" s="10" t="s">
        <v>68</v>
      </c>
      <c r="B114" s="68">
        <v>10</v>
      </c>
      <c r="C114" s="64">
        <v>3.1</v>
      </c>
      <c r="D114" s="202">
        <f>$D$264</f>
        <v>2.9</v>
      </c>
      <c r="E114" s="83">
        <f t="shared" si="68"/>
        <v>8.99</v>
      </c>
      <c r="F114" s="71"/>
      <c r="G114" s="68"/>
      <c r="H114" s="83">
        <f t="shared" ref="H114:H120" si="71">(E114-(F114*G114))</f>
        <v>8.99</v>
      </c>
      <c r="I114" s="64">
        <f>$H$268</f>
        <v>2.87</v>
      </c>
      <c r="J114" s="64">
        <v>-4</v>
      </c>
      <c r="K114" s="83">
        <f t="shared" si="69"/>
        <v>-11.48</v>
      </c>
      <c r="L114" s="47">
        <f t="shared" si="70"/>
        <v>-103.2052</v>
      </c>
      <c r="M114" s="46" t="s">
        <v>23</v>
      </c>
      <c r="N114" s="318">
        <f>K122/(N113*(N115-N116))</f>
        <v>0.28002337196644683</v>
      </c>
      <c r="O114" s="318"/>
      <c r="P114" s="318"/>
      <c r="Q114" s="317"/>
    </row>
    <row r="115" spans="1:17">
      <c r="A115" s="10" t="s">
        <v>71</v>
      </c>
      <c r="B115" s="68">
        <v>10</v>
      </c>
      <c r="C115" s="64">
        <v>0.95</v>
      </c>
      <c r="D115" s="202">
        <f>$D$264</f>
        <v>2.9</v>
      </c>
      <c r="E115" s="83">
        <f>C115*D115</f>
        <v>2.7549999999999999</v>
      </c>
      <c r="F115" s="71">
        <v>1</v>
      </c>
      <c r="G115" s="68">
        <f>0.6*2</f>
        <v>1.2</v>
      </c>
      <c r="H115" s="83">
        <f t="shared" si="71"/>
        <v>1.5549999999999999</v>
      </c>
      <c r="I115" s="64">
        <f>$H$268</f>
        <v>2.87</v>
      </c>
      <c r="J115" s="64">
        <v>5</v>
      </c>
      <c r="K115" s="83">
        <f t="shared" si="69"/>
        <v>14.350000000000001</v>
      </c>
      <c r="L115" s="47">
        <f t="shared" si="70"/>
        <v>22.314250000000001</v>
      </c>
      <c r="M115" s="46" t="s">
        <v>52</v>
      </c>
      <c r="N115" s="319">
        <v>20</v>
      </c>
      <c r="O115" s="319"/>
      <c r="P115" s="319"/>
      <c r="Q115" s="317"/>
    </row>
    <row r="116" spans="1:17">
      <c r="A116" s="10" t="s">
        <v>57</v>
      </c>
      <c r="B116" s="68">
        <v>10</v>
      </c>
      <c r="C116" s="64">
        <v>4.45</v>
      </c>
      <c r="D116" s="202">
        <f>$D$264</f>
        <v>2.9</v>
      </c>
      <c r="E116" s="83">
        <f>C116*D116</f>
        <v>12.904999999999999</v>
      </c>
      <c r="F116" s="71"/>
      <c r="G116" s="68"/>
      <c r="H116" s="83">
        <f t="shared" si="71"/>
        <v>12.904999999999999</v>
      </c>
      <c r="I116" s="64">
        <f>$H$268</f>
        <v>2.87</v>
      </c>
      <c r="J116" s="64">
        <v>0</v>
      </c>
      <c r="K116" s="83">
        <f t="shared" si="69"/>
        <v>0</v>
      </c>
      <c r="L116" s="47">
        <f t="shared" si="70"/>
        <v>0</v>
      </c>
      <c r="M116" s="46" t="s">
        <v>53</v>
      </c>
      <c r="N116" s="319">
        <v>-15</v>
      </c>
      <c r="O116" s="319"/>
      <c r="P116" s="319"/>
      <c r="Q116" s="317"/>
    </row>
    <row r="117" spans="1:17">
      <c r="A117" s="10" t="s">
        <v>75</v>
      </c>
      <c r="B117" s="68"/>
      <c r="C117" s="64">
        <v>0.6</v>
      </c>
      <c r="D117" s="64">
        <v>0.9</v>
      </c>
      <c r="E117" s="83">
        <f>C117*D117*2</f>
        <v>1.08</v>
      </c>
      <c r="F117" s="71"/>
      <c r="G117" s="68"/>
      <c r="H117" s="83">
        <f t="shared" si="71"/>
        <v>1.08</v>
      </c>
      <c r="I117" s="64">
        <f>$H$272</f>
        <v>1.2</v>
      </c>
      <c r="J117" s="64">
        <v>35</v>
      </c>
      <c r="K117" s="83">
        <f t="shared" si="69"/>
        <v>42</v>
      </c>
      <c r="L117" s="47">
        <f t="shared" si="70"/>
        <v>45.36</v>
      </c>
      <c r="M117" s="79"/>
      <c r="N117" s="96"/>
      <c r="O117" s="96"/>
      <c r="P117" s="97"/>
      <c r="Q117" s="317"/>
    </row>
    <row r="118" spans="1:17">
      <c r="A118" s="10" t="s">
        <v>74</v>
      </c>
      <c r="B118" s="68"/>
      <c r="C118" s="64">
        <v>0.6</v>
      </c>
      <c r="D118" s="64">
        <v>2</v>
      </c>
      <c r="E118" s="83">
        <f>C118*D118</f>
        <v>1.2</v>
      </c>
      <c r="F118" s="71"/>
      <c r="G118" s="68"/>
      <c r="H118" s="83">
        <f t="shared" si="71"/>
        <v>1.2</v>
      </c>
      <c r="I118" s="64">
        <f>$H$274</f>
        <v>2</v>
      </c>
      <c r="J118" s="64">
        <v>5</v>
      </c>
      <c r="K118" s="83">
        <f t="shared" si="69"/>
        <v>10</v>
      </c>
      <c r="L118" s="47">
        <f t="shared" si="70"/>
        <v>12</v>
      </c>
      <c r="M118" s="96"/>
      <c r="N118" s="96"/>
      <c r="O118" s="96"/>
      <c r="P118" s="97"/>
      <c r="Q118" s="317"/>
    </row>
    <row r="119" spans="1:17">
      <c r="A119" s="86" t="s">
        <v>62</v>
      </c>
      <c r="B119" s="87">
        <v>58</v>
      </c>
      <c r="C119" s="88"/>
      <c r="D119" s="88"/>
      <c r="E119" s="83">
        <f>(2.3*1.9+0.95*1.2)</f>
        <v>5.5099999999999989</v>
      </c>
      <c r="F119" s="89"/>
      <c r="G119" s="87"/>
      <c r="H119" s="83">
        <f t="shared" si="71"/>
        <v>5.5099999999999989</v>
      </c>
      <c r="I119" s="64">
        <f>$H$270</f>
        <v>0.88300000000000001</v>
      </c>
      <c r="J119" s="64">
        <v>35</v>
      </c>
      <c r="K119" s="83">
        <f t="shared" si="69"/>
        <v>30.905000000000001</v>
      </c>
      <c r="L119" s="47">
        <f t="shared" si="70"/>
        <v>170.28654999999998</v>
      </c>
      <c r="M119" s="52"/>
      <c r="N119" s="53"/>
      <c r="O119" s="53"/>
      <c r="P119" s="54"/>
      <c r="Q119" s="317"/>
    </row>
    <row r="120" spans="1:17">
      <c r="A120" s="86" t="s">
        <v>63</v>
      </c>
      <c r="B120" s="87"/>
      <c r="C120" s="88"/>
      <c r="D120" s="88"/>
      <c r="E120" s="83">
        <f>E119</f>
        <v>5.5099999999999989</v>
      </c>
      <c r="F120" s="89"/>
      <c r="G120" s="87"/>
      <c r="H120" s="83">
        <f t="shared" si="71"/>
        <v>5.5099999999999989</v>
      </c>
      <c r="I120" s="64">
        <f>$H$271</f>
        <v>1.286</v>
      </c>
      <c r="J120" s="64">
        <v>5</v>
      </c>
      <c r="K120" s="83">
        <f t="shared" si="69"/>
        <v>6.43</v>
      </c>
      <c r="L120" s="47">
        <f t="shared" si="70"/>
        <v>35.429299999999991</v>
      </c>
      <c r="M120" s="52"/>
      <c r="N120" s="53"/>
      <c r="O120" s="53"/>
      <c r="P120" s="54"/>
      <c r="Q120" s="317"/>
    </row>
    <row r="121" spans="1:17" ht="13.5" thickBot="1">
      <c r="A121" s="42"/>
      <c r="B121" s="93"/>
      <c r="C121" s="94"/>
      <c r="D121" s="94"/>
      <c r="E121" s="90">
        <f>SUM(E113:E120)</f>
        <v>44.62</v>
      </c>
      <c r="F121" s="95"/>
      <c r="G121" s="93"/>
      <c r="H121" s="94"/>
      <c r="I121" s="94"/>
      <c r="J121" s="94"/>
      <c r="K121" s="94"/>
      <c r="L121" s="44"/>
      <c r="M121" s="50"/>
      <c r="N121" s="80"/>
      <c r="O121" s="80"/>
      <c r="P121" s="51"/>
      <c r="Q121" s="317"/>
    </row>
    <row r="122" spans="1:17" ht="14.25" thickTop="1" thickBot="1">
      <c r="A122" s="25"/>
      <c r="B122" s="320" t="s">
        <v>17</v>
      </c>
      <c r="C122" s="321"/>
      <c r="D122" s="321"/>
      <c r="E122" s="321"/>
      <c r="F122" s="322"/>
      <c r="G122" s="72"/>
      <c r="H122" s="73"/>
      <c r="I122" s="74"/>
      <c r="J122" s="84" t="s">
        <v>21</v>
      </c>
      <c r="K122" s="321">
        <f>SUM(L113:L121)</f>
        <v>437.31249999999994</v>
      </c>
      <c r="L122" s="322"/>
      <c r="M122" s="46">
        <f>0.15*N114</f>
        <v>4.2003505794967026E-2</v>
      </c>
      <c r="N122" s="83">
        <v>0</v>
      </c>
      <c r="O122" s="45">
        <v>0.05</v>
      </c>
      <c r="P122" s="83">
        <f>1+O122+N122+M122</f>
        <v>1.0920035057949671</v>
      </c>
      <c r="Q122" s="82"/>
    </row>
    <row r="123" spans="1:17">
      <c r="A123" s="15"/>
      <c r="B123" s="33"/>
      <c r="C123" s="79" t="s">
        <v>65</v>
      </c>
      <c r="D123" s="22">
        <v>1.9000000000000001E-4</v>
      </c>
      <c r="E123" s="22" t="s">
        <v>27</v>
      </c>
      <c r="F123" s="34">
        <v>12</v>
      </c>
      <c r="G123" s="49" t="s">
        <v>25</v>
      </c>
      <c r="H123" s="330">
        <f>(0.5*H112)/3600</f>
        <v>2.2193055555555551E-3</v>
      </c>
      <c r="I123" s="331"/>
      <c r="J123" s="22"/>
      <c r="K123" s="22"/>
      <c r="L123" s="34"/>
      <c r="M123" s="22"/>
      <c r="N123" s="22"/>
      <c r="O123" s="22"/>
      <c r="P123" s="22" t="s">
        <v>24</v>
      </c>
      <c r="Q123" s="23">
        <f>K122*P122</f>
        <v>477.54678312796148</v>
      </c>
    </row>
    <row r="124" spans="1:17" ht="13.5" thickBot="1">
      <c r="A124" s="15"/>
      <c r="B124" s="33"/>
      <c r="C124" s="79" t="s">
        <v>64</v>
      </c>
      <c r="D124" s="66">
        <f>((0.6+0.9)*2)*2</f>
        <v>6</v>
      </c>
      <c r="E124" s="22" t="s">
        <v>28</v>
      </c>
      <c r="F124" s="34">
        <v>0.7</v>
      </c>
      <c r="G124" s="35" t="s">
        <v>26</v>
      </c>
      <c r="H124" s="332">
        <f>((D123*D124)*F123*F124)</f>
        <v>9.5759999999999994E-3</v>
      </c>
      <c r="I124" s="333"/>
      <c r="J124" s="22"/>
      <c r="K124" s="22"/>
      <c r="L124" s="34"/>
      <c r="M124" s="22"/>
      <c r="N124" s="22"/>
      <c r="O124" s="22"/>
      <c r="P124" s="22" t="s">
        <v>29</v>
      </c>
      <c r="Q124" s="23">
        <f>1300*(H125*(N115-(N116)))</f>
        <v>435.70799999999997</v>
      </c>
    </row>
    <row r="125" spans="1:17" ht="13.5" thickBot="1">
      <c r="A125" s="25"/>
      <c r="B125" s="36"/>
      <c r="C125" s="26"/>
      <c r="D125" s="78"/>
      <c r="E125" s="78"/>
      <c r="F125" s="40"/>
      <c r="G125" s="41" t="s">
        <v>18</v>
      </c>
      <c r="H125" s="334">
        <f>MAX(H123,H124)</f>
        <v>9.5759999999999994E-3</v>
      </c>
      <c r="I125" s="335"/>
      <c r="J125" s="78"/>
      <c r="K125" s="78"/>
      <c r="L125" s="40"/>
      <c r="M125" s="78"/>
      <c r="N125" s="78"/>
      <c r="O125" s="78"/>
      <c r="P125" s="91" t="s">
        <v>66</v>
      </c>
      <c r="Q125" s="102">
        <f>SUM(Q123:Q124)</f>
        <v>913.25478312796145</v>
      </c>
    </row>
    <row r="126" spans="1:17" ht="13.5" thickBot="1">
      <c r="A126" s="76"/>
      <c r="B126" s="76"/>
      <c r="C126" s="76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7"/>
    </row>
    <row r="127" spans="1:17" ht="13.5" thickBot="1">
      <c r="A127" s="19"/>
      <c r="B127" s="339" t="s">
        <v>294</v>
      </c>
      <c r="C127" s="340"/>
      <c r="D127" s="340"/>
      <c r="E127" s="340"/>
      <c r="F127" s="341"/>
      <c r="G127" s="60" t="s">
        <v>19</v>
      </c>
      <c r="H127" s="342">
        <f>E137*D128</f>
        <v>58.260999999999996</v>
      </c>
      <c r="I127" s="342"/>
      <c r="J127" s="59" t="s">
        <v>20</v>
      </c>
      <c r="K127" s="59"/>
      <c r="L127" s="61"/>
      <c r="M127" s="59"/>
      <c r="N127" s="59"/>
      <c r="O127" s="59"/>
      <c r="P127" s="59"/>
      <c r="Q127" s="24"/>
    </row>
    <row r="128" spans="1:17">
      <c r="A128" s="16" t="s">
        <v>30</v>
      </c>
      <c r="B128" s="67">
        <v>45</v>
      </c>
      <c r="C128" s="77">
        <f>4.3+3.95</f>
        <v>8.25</v>
      </c>
      <c r="D128" s="202">
        <f>$D$264</f>
        <v>2.9</v>
      </c>
      <c r="E128" s="84">
        <f t="shared" ref="E128:E129" si="72">C128*D128</f>
        <v>23.925000000000001</v>
      </c>
      <c r="F128" s="70">
        <v>1</v>
      </c>
      <c r="G128" s="67">
        <f>0.6*0.9*2+1.2*1.5</f>
        <v>2.88</v>
      </c>
      <c r="H128" s="84">
        <f>(E128-(F128*G128))</f>
        <v>21.045000000000002</v>
      </c>
      <c r="I128" s="64">
        <f>$H$265</f>
        <v>1.304</v>
      </c>
      <c r="J128" s="77">
        <v>35</v>
      </c>
      <c r="K128" s="84">
        <f t="shared" ref="K128:K137" si="73">J128*I128</f>
        <v>45.64</v>
      </c>
      <c r="L128" s="85">
        <f t="shared" ref="L128:L137" si="74">H128*I128*J128</f>
        <v>960.49380000000008</v>
      </c>
      <c r="M128" s="17" t="s">
        <v>22</v>
      </c>
      <c r="N128" s="321">
        <f>E138</f>
        <v>100.63</v>
      </c>
      <c r="O128" s="321"/>
      <c r="P128" s="321"/>
      <c r="Q128" s="316"/>
    </row>
    <row r="129" spans="1:17">
      <c r="A129" s="10" t="s">
        <v>68</v>
      </c>
      <c r="B129" s="68">
        <v>10</v>
      </c>
      <c r="C129" s="64">
        <v>4.6500000000000004</v>
      </c>
      <c r="D129" s="202">
        <f>$D$264</f>
        <v>2.9</v>
      </c>
      <c r="E129" s="83">
        <f t="shared" si="72"/>
        <v>13.485000000000001</v>
      </c>
      <c r="F129" s="71"/>
      <c r="G129" s="68"/>
      <c r="H129" s="83">
        <f t="shared" ref="H129:H137" si="75">(E129-(F129*G129))</f>
        <v>13.485000000000001</v>
      </c>
      <c r="I129" s="64">
        <f>$H$268</f>
        <v>2.87</v>
      </c>
      <c r="J129" s="64">
        <v>0</v>
      </c>
      <c r="K129" s="83">
        <f t="shared" si="73"/>
        <v>0</v>
      </c>
      <c r="L129" s="47">
        <f t="shared" si="74"/>
        <v>0</v>
      </c>
      <c r="M129" s="46" t="s">
        <v>23</v>
      </c>
      <c r="N129" s="318">
        <f>K139/(N128*(N130-N131))</f>
        <v>0.56923284308854216</v>
      </c>
      <c r="O129" s="318"/>
      <c r="P129" s="318"/>
      <c r="Q129" s="317"/>
    </row>
    <row r="130" spans="1:17">
      <c r="A130" s="10" t="s">
        <v>49</v>
      </c>
      <c r="B130" s="68">
        <v>10</v>
      </c>
      <c r="C130" s="64">
        <v>1.1000000000000001</v>
      </c>
      <c r="D130" s="202">
        <f>$D$264</f>
        <v>2.9</v>
      </c>
      <c r="E130" s="83">
        <f>C130*D130</f>
        <v>3.19</v>
      </c>
      <c r="F130" s="71">
        <v>1</v>
      </c>
      <c r="G130" s="68">
        <f>0.8*2</f>
        <v>1.6</v>
      </c>
      <c r="H130" s="83">
        <f t="shared" si="75"/>
        <v>1.5899999999999999</v>
      </c>
      <c r="I130" s="64">
        <f>$H$268</f>
        <v>2.87</v>
      </c>
      <c r="J130" s="64">
        <v>5</v>
      </c>
      <c r="K130" s="83">
        <f t="shared" si="73"/>
        <v>14.350000000000001</v>
      </c>
      <c r="L130" s="47">
        <f t="shared" si="74"/>
        <v>22.816499999999998</v>
      </c>
      <c r="M130" s="46" t="s">
        <v>52</v>
      </c>
      <c r="N130" s="319">
        <v>20</v>
      </c>
      <c r="O130" s="319"/>
      <c r="P130" s="319"/>
      <c r="Q130" s="317"/>
    </row>
    <row r="131" spans="1:17">
      <c r="A131" s="10" t="s">
        <v>78</v>
      </c>
      <c r="B131" s="68">
        <v>30</v>
      </c>
      <c r="C131" s="64">
        <v>1.25</v>
      </c>
      <c r="D131" s="202">
        <f>$D$264</f>
        <v>2.9</v>
      </c>
      <c r="E131" s="83">
        <f>C131*D131</f>
        <v>3.625</v>
      </c>
      <c r="F131" s="71"/>
      <c r="G131" s="68"/>
      <c r="H131" s="83">
        <f t="shared" si="75"/>
        <v>3.625</v>
      </c>
      <c r="I131" s="64">
        <f>$H$266</f>
        <v>1.7210000000000001</v>
      </c>
      <c r="J131" s="64">
        <v>5</v>
      </c>
      <c r="K131" s="83">
        <f t="shared" si="73"/>
        <v>8.6050000000000004</v>
      </c>
      <c r="L131" s="47">
        <f t="shared" si="74"/>
        <v>31.193125000000002</v>
      </c>
      <c r="M131" s="46" t="s">
        <v>53</v>
      </c>
      <c r="N131" s="319">
        <v>-15</v>
      </c>
      <c r="O131" s="319"/>
      <c r="P131" s="319"/>
      <c r="Q131" s="317"/>
    </row>
    <row r="132" spans="1:17">
      <c r="A132" s="10" t="s">
        <v>77</v>
      </c>
      <c r="B132" s="68">
        <v>30</v>
      </c>
      <c r="C132" s="64">
        <v>4.05</v>
      </c>
      <c r="D132" s="202">
        <f>$D$264</f>
        <v>2.9</v>
      </c>
      <c r="E132" s="201">
        <f>C132*D132</f>
        <v>11.744999999999999</v>
      </c>
      <c r="F132" s="71"/>
      <c r="G132" s="68"/>
      <c r="H132" s="201">
        <f t="shared" si="75"/>
        <v>11.744999999999999</v>
      </c>
      <c r="I132" s="64">
        <f>$H$266</f>
        <v>1.7210000000000001</v>
      </c>
      <c r="J132" s="64">
        <v>0</v>
      </c>
      <c r="K132" s="201">
        <f t="shared" ref="K132" si="76">J132*I132</f>
        <v>0</v>
      </c>
      <c r="L132" s="47">
        <f t="shared" ref="L132" si="77">H132*I132*J132</f>
        <v>0</v>
      </c>
      <c r="M132" s="198"/>
      <c r="N132" s="96"/>
      <c r="O132" s="96"/>
      <c r="P132" s="97"/>
      <c r="Q132" s="317"/>
    </row>
    <row r="133" spans="1:17">
      <c r="A133" s="10" t="s">
        <v>75</v>
      </c>
      <c r="B133" s="68"/>
      <c r="C133" s="64">
        <v>0.6</v>
      </c>
      <c r="D133" s="64">
        <v>0.9</v>
      </c>
      <c r="E133" s="83">
        <f>C133*D133*2</f>
        <v>1.08</v>
      </c>
      <c r="F133" s="71"/>
      <c r="G133" s="68"/>
      <c r="H133" s="83">
        <f t="shared" si="75"/>
        <v>1.08</v>
      </c>
      <c r="I133" s="64">
        <f>$H$272</f>
        <v>1.2</v>
      </c>
      <c r="J133" s="64">
        <v>35</v>
      </c>
      <c r="K133" s="83">
        <f t="shared" si="73"/>
        <v>42</v>
      </c>
      <c r="L133" s="47">
        <f t="shared" si="74"/>
        <v>45.36</v>
      </c>
      <c r="M133" s="79"/>
      <c r="N133" s="96"/>
      <c r="O133" s="96"/>
      <c r="P133" s="97"/>
      <c r="Q133" s="317"/>
    </row>
    <row r="134" spans="1:17">
      <c r="A134" s="10" t="s">
        <v>80</v>
      </c>
      <c r="B134" s="68"/>
      <c r="C134" s="64">
        <v>1.2</v>
      </c>
      <c r="D134" s="64">
        <v>1.5</v>
      </c>
      <c r="E134" s="201">
        <f>C134*D134</f>
        <v>1.7999999999999998</v>
      </c>
      <c r="F134" s="71"/>
      <c r="G134" s="68"/>
      <c r="H134" s="201">
        <f t="shared" si="75"/>
        <v>1.7999999999999998</v>
      </c>
      <c r="I134" s="64">
        <f>$H$272</f>
        <v>1.2</v>
      </c>
      <c r="J134" s="64">
        <v>35</v>
      </c>
      <c r="K134" s="201">
        <f t="shared" ref="K134" si="78">J134*I134</f>
        <v>42</v>
      </c>
      <c r="L134" s="47">
        <f t="shared" ref="L134" si="79">H134*I134*J134</f>
        <v>75.599999999999994</v>
      </c>
      <c r="M134" s="198"/>
      <c r="N134" s="96"/>
      <c r="O134" s="96"/>
      <c r="P134" s="97"/>
      <c r="Q134" s="317"/>
    </row>
    <row r="135" spans="1:17">
      <c r="A135" s="10" t="s">
        <v>70</v>
      </c>
      <c r="B135" s="68"/>
      <c r="C135" s="64">
        <v>0.8</v>
      </c>
      <c r="D135" s="64">
        <v>2</v>
      </c>
      <c r="E135" s="83">
        <f>C135*D135</f>
        <v>1.6</v>
      </c>
      <c r="F135" s="71"/>
      <c r="G135" s="68"/>
      <c r="H135" s="83">
        <f t="shared" si="75"/>
        <v>1.6</v>
      </c>
      <c r="I135" s="64">
        <f>$H$274</f>
        <v>2</v>
      </c>
      <c r="J135" s="64">
        <v>5</v>
      </c>
      <c r="K135" s="83">
        <f t="shared" si="73"/>
        <v>10</v>
      </c>
      <c r="L135" s="47">
        <f t="shared" si="74"/>
        <v>16</v>
      </c>
      <c r="M135" s="96"/>
      <c r="N135" s="96"/>
      <c r="O135" s="96"/>
      <c r="P135" s="97"/>
      <c r="Q135" s="317"/>
    </row>
    <row r="136" spans="1:17">
      <c r="A136" s="86" t="s">
        <v>62</v>
      </c>
      <c r="B136" s="87">
        <v>58</v>
      </c>
      <c r="C136" s="88">
        <v>3.95</v>
      </c>
      <c r="D136" s="88">
        <v>1.9</v>
      </c>
      <c r="E136" s="83">
        <v>20.09</v>
      </c>
      <c r="F136" s="89"/>
      <c r="G136" s="87"/>
      <c r="H136" s="83">
        <f t="shared" si="75"/>
        <v>20.09</v>
      </c>
      <c r="I136" s="64">
        <f>$H$270</f>
        <v>0.88300000000000001</v>
      </c>
      <c r="J136" s="64">
        <v>35</v>
      </c>
      <c r="K136" s="83">
        <f t="shared" si="73"/>
        <v>30.905000000000001</v>
      </c>
      <c r="L136" s="47">
        <f t="shared" si="74"/>
        <v>620.88144999999997</v>
      </c>
      <c r="M136" s="52"/>
      <c r="N136" s="53"/>
      <c r="O136" s="53"/>
      <c r="P136" s="54"/>
      <c r="Q136" s="317"/>
    </row>
    <row r="137" spans="1:17">
      <c r="A137" s="86" t="s">
        <v>63</v>
      </c>
      <c r="B137" s="87"/>
      <c r="C137" s="88">
        <v>3.95</v>
      </c>
      <c r="D137" s="88">
        <v>1.9</v>
      </c>
      <c r="E137" s="83">
        <f>E136</f>
        <v>20.09</v>
      </c>
      <c r="F137" s="89"/>
      <c r="G137" s="87"/>
      <c r="H137" s="83">
        <f t="shared" si="75"/>
        <v>20.09</v>
      </c>
      <c r="I137" s="64">
        <f>$H$271</f>
        <v>1.286</v>
      </c>
      <c r="J137" s="64">
        <v>9</v>
      </c>
      <c r="K137" s="83">
        <f t="shared" si="73"/>
        <v>11.574</v>
      </c>
      <c r="L137" s="47">
        <f t="shared" si="74"/>
        <v>232.52166</v>
      </c>
      <c r="M137" s="52"/>
      <c r="N137" s="53"/>
      <c r="O137" s="53"/>
      <c r="P137" s="54"/>
      <c r="Q137" s="317"/>
    </row>
    <row r="138" spans="1:17" ht="13.5" thickBot="1">
      <c r="A138" s="42"/>
      <c r="B138" s="93"/>
      <c r="C138" s="94"/>
      <c r="D138" s="94"/>
      <c r="E138" s="90">
        <f>SUM(E128:E137)</f>
        <v>100.63</v>
      </c>
      <c r="F138" s="95"/>
      <c r="G138" s="93"/>
      <c r="H138" s="94"/>
      <c r="I138" s="94"/>
      <c r="J138" s="94"/>
      <c r="K138" s="94"/>
      <c r="L138" s="44"/>
      <c r="M138" s="50"/>
      <c r="N138" s="80"/>
      <c r="O138" s="80"/>
      <c r="P138" s="51"/>
      <c r="Q138" s="317"/>
    </row>
    <row r="139" spans="1:17" ht="14.25" thickTop="1" thickBot="1">
      <c r="A139" s="25"/>
      <c r="B139" s="320" t="s">
        <v>17</v>
      </c>
      <c r="C139" s="321"/>
      <c r="D139" s="321"/>
      <c r="E139" s="321"/>
      <c r="F139" s="322"/>
      <c r="G139" s="72"/>
      <c r="H139" s="73"/>
      <c r="I139" s="74"/>
      <c r="J139" s="84" t="s">
        <v>21</v>
      </c>
      <c r="K139" s="321">
        <f>SUM(L128:L138)</f>
        <v>2004.8665349999997</v>
      </c>
      <c r="L139" s="322"/>
      <c r="M139" s="46">
        <f>0.15*N129</f>
        <v>8.5384926463281316E-2</v>
      </c>
      <c r="N139" s="83">
        <v>0</v>
      </c>
      <c r="O139" s="45">
        <v>0.05</v>
      </c>
      <c r="P139" s="83">
        <f>1+O139+N139+M139</f>
        <v>1.1353849264632814</v>
      </c>
      <c r="Q139" s="82"/>
    </row>
    <row r="140" spans="1:17">
      <c r="A140" s="15"/>
      <c r="B140" s="33"/>
      <c r="C140" s="79" t="s">
        <v>65</v>
      </c>
      <c r="D140" s="22">
        <v>1.9000000000000001E-4</v>
      </c>
      <c r="E140" s="22" t="s">
        <v>27</v>
      </c>
      <c r="F140" s="34">
        <v>12</v>
      </c>
      <c r="G140" s="49" t="s">
        <v>25</v>
      </c>
      <c r="H140" s="330">
        <f>(0.5*H127)/3600</f>
        <v>8.0918055555555552E-3</v>
      </c>
      <c r="I140" s="331"/>
      <c r="J140" s="22"/>
      <c r="K140" s="22"/>
      <c r="L140" s="34"/>
      <c r="M140" s="22"/>
      <c r="N140" s="22"/>
      <c r="O140" s="22"/>
      <c r="P140" s="22" t="s">
        <v>24</v>
      </c>
      <c r="Q140" s="23">
        <f>K139*P139</f>
        <v>2276.2952434096683</v>
      </c>
    </row>
    <row r="141" spans="1:17" ht="13.5" thickBot="1">
      <c r="A141" s="15"/>
      <c r="B141" s="33"/>
      <c r="C141" s="79" t="s">
        <v>64</v>
      </c>
      <c r="D141" s="66">
        <f>((0.6+0.9)*2)*2</f>
        <v>6</v>
      </c>
      <c r="E141" s="22" t="s">
        <v>28</v>
      </c>
      <c r="F141" s="34">
        <v>0.7</v>
      </c>
      <c r="G141" s="35" t="s">
        <v>26</v>
      </c>
      <c r="H141" s="332">
        <f>((D140*D141)*F140*F141)</f>
        <v>9.5759999999999994E-3</v>
      </c>
      <c r="I141" s="333"/>
      <c r="J141" s="22"/>
      <c r="K141" s="22"/>
      <c r="L141" s="34"/>
      <c r="M141" s="22"/>
      <c r="N141" s="22"/>
      <c r="O141" s="22"/>
      <c r="P141" s="22" t="s">
        <v>29</v>
      </c>
      <c r="Q141" s="23">
        <f>1300*(H142*(N130-(N131)))</f>
        <v>435.70799999999997</v>
      </c>
    </row>
    <row r="142" spans="1:17" ht="13.5" thickBot="1">
      <c r="A142" s="25"/>
      <c r="B142" s="36"/>
      <c r="C142" s="26"/>
      <c r="D142" s="78"/>
      <c r="E142" s="78"/>
      <c r="F142" s="40"/>
      <c r="G142" s="41" t="s">
        <v>18</v>
      </c>
      <c r="H142" s="334">
        <f>MAX(H140,H141)</f>
        <v>9.5759999999999994E-3</v>
      </c>
      <c r="I142" s="335"/>
      <c r="J142" s="78"/>
      <c r="K142" s="78"/>
      <c r="L142" s="40"/>
      <c r="M142" s="78"/>
      <c r="N142" s="78"/>
      <c r="O142" s="78"/>
      <c r="P142" s="91" t="s">
        <v>66</v>
      </c>
      <c r="Q142" s="102">
        <f>SUM(Q140:Q141)</f>
        <v>2712.0032434096684</v>
      </c>
    </row>
    <row r="143" spans="1:17" ht="13.5" thickBot="1">
      <c r="A143" s="76"/>
      <c r="B143" s="76"/>
      <c r="C143" s="76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7"/>
    </row>
    <row r="144" spans="1:17" ht="13.5" thickBot="1">
      <c r="A144" s="19"/>
      <c r="B144" s="339" t="s">
        <v>282</v>
      </c>
      <c r="C144" s="340"/>
      <c r="D144" s="340"/>
      <c r="E144" s="340"/>
      <c r="F144" s="341"/>
      <c r="G144" s="60" t="s">
        <v>19</v>
      </c>
      <c r="H144" s="342">
        <f>E154*D145</f>
        <v>37.322999999999993</v>
      </c>
      <c r="I144" s="342"/>
      <c r="J144" s="59" t="s">
        <v>20</v>
      </c>
      <c r="K144" s="59"/>
      <c r="L144" s="61"/>
      <c r="M144" s="59"/>
      <c r="N144" s="59"/>
      <c r="O144" s="59"/>
      <c r="P144" s="59"/>
      <c r="Q144" s="24"/>
    </row>
    <row r="145" spans="1:17">
      <c r="A145" s="16" t="s">
        <v>32</v>
      </c>
      <c r="B145" s="67">
        <v>30</v>
      </c>
      <c r="C145" s="77">
        <v>3.9</v>
      </c>
      <c r="D145" s="202">
        <f>$D$264</f>
        <v>2.9</v>
      </c>
      <c r="E145" s="84">
        <f t="shared" ref="E145:E146" si="80">C145*D145</f>
        <v>11.309999999999999</v>
      </c>
      <c r="F145" s="70"/>
      <c r="G145" s="67"/>
      <c r="H145" s="84">
        <f>(E145-(F145*G145))</f>
        <v>11.309999999999999</v>
      </c>
      <c r="I145" s="99">
        <f>$H$266</f>
        <v>1.7210000000000001</v>
      </c>
      <c r="J145" s="77">
        <v>0</v>
      </c>
      <c r="K145" s="84">
        <f t="shared" ref="K145:K154" si="81">J145*I145</f>
        <v>0</v>
      </c>
      <c r="L145" s="85">
        <f t="shared" ref="L145:L154" si="82">H145*I145*J145</f>
        <v>0</v>
      </c>
      <c r="M145" s="17" t="s">
        <v>22</v>
      </c>
      <c r="N145" s="321">
        <f>E155</f>
        <v>73.539999999999992</v>
      </c>
      <c r="O145" s="321"/>
      <c r="P145" s="321"/>
      <c r="Q145" s="316"/>
    </row>
    <row r="146" spans="1:17">
      <c r="A146" s="10" t="s">
        <v>31</v>
      </c>
      <c r="B146" s="68">
        <v>15</v>
      </c>
      <c r="C146" s="64">
        <v>1.5</v>
      </c>
      <c r="D146" s="202">
        <f>$D$264</f>
        <v>2.9</v>
      </c>
      <c r="E146" s="83">
        <f t="shared" si="80"/>
        <v>4.3499999999999996</v>
      </c>
      <c r="F146" s="71">
        <v>1</v>
      </c>
      <c r="G146" s="68">
        <f>0.8*2</f>
        <v>1.6</v>
      </c>
      <c r="H146" s="83">
        <f t="shared" ref="H146:H154" si="83">(E146-(F146*G146))</f>
        <v>2.7499999999999996</v>
      </c>
      <c r="I146" s="64">
        <v>2.46</v>
      </c>
      <c r="J146" s="64">
        <v>5</v>
      </c>
      <c r="K146" s="83">
        <f t="shared" si="81"/>
        <v>12.3</v>
      </c>
      <c r="L146" s="47">
        <f t="shared" si="82"/>
        <v>33.824999999999996</v>
      </c>
      <c r="M146" s="46" t="s">
        <v>23</v>
      </c>
      <c r="N146" s="318">
        <f>K156/(N145*(N147-N148))</f>
        <v>0.59128017794009091</v>
      </c>
      <c r="O146" s="318"/>
      <c r="P146" s="318"/>
      <c r="Q146" s="317"/>
    </row>
    <row r="147" spans="1:17">
      <c r="A147" s="10" t="s">
        <v>71</v>
      </c>
      <c r="B147" s="68">
        <v>15</v>
      </c>
      <c r="C147" s="64">
        <v>1.8</v>
      </c>
      <c r="D147" s="202">
        <f>$D$264</f>
        <v>2.9</v>
      </c>
      <c r="E147" s="83">
        <f>C147*D147</f>
        <v>5.22</v>
      </c>
      <c r="F147" s="71"/>
      <c r="G147" s="68"/>
      <c r="H147" s="83">
        <f t="shared" si="83"/>
        <v>5.22</v>
      </c>
      <c r="I147" s="64">
        <v>2.46</v>
      </c>
      <c r="J147" s="64">
        <v>0</v>
      </c>
      <c r="K147" s="83">
        <f t="shared" si="81"/>
        <v>0</v>
      </c>
      <c r="L147" s="47">
        <f t="shared" si="82"/>
        <v>0</v>
      </c>
      <c r="M147" s="46" t="s">
        <v>52</v>
      </c>
      <c r="N147" s="319">
        <v>20</v>
      </c>
      <c r="O147" s="319"/>
      <c r="P147" s="319"/>
      <c r="Q147" s="317"/>
    </row>
    <row r="148" spans="1:17">
      <c r="A148" s="10" t="s">
        <v>78</v>
      </c>
      <c r="B148" s="68">
        <v>45</v>
      </c>
      <c r="C148" s="64">
        <v>3.9</v>
      </c>
      <c r="D148" s="202">
        <f>$D$264</f>
        <v>2.9</v>
      </c>
      <c r="E148" s="83">
        <f>C148*D148</f>
        <v>11.309999999999999</v>
      </c>
      <c r="F148" s="71">
        <v>1</v>
      </c>
      <c r="G148" s="68">
        <f>1.2*1.2</f>
        <v>1.44</v>
      </c>
      <c r="H148" s="83">
        <f t="shared" si="83"/>
        <v>9.8699999999999992</v>
      </c>
      <c r="I148" s="64">
        <f>$H$265</f>
        <v>1.304</v>
      </c>
      <c r="J148" s="64">
        <v>35</v>
      </c>
      <c r="K148" s="83">
        <f t="shared" si="81"/>
        <v>45.64</v>
      </c>
      <c r="L148" s="47">
        <f t="shared" si="82"/>
        <v>450.46679999999998</v>
      </c>
      <c r="M148" s="46" t="s">
        <v>53</v>
      </c>
      <c r="N148" s="319">
        <v>-15</v>
      </c>
      <c r="O148" s="319"/>
      <c r="P148" s="319"/>
      <c r="Q148" s="317"/>
    </row>
    <row r="149" spans="1:17">
      <c r="A149" s="10" t="s">
        <v>72</v>
      </c>
      <c r="B149" s="68">
        <v>45</v>
      </c>
      <c r="C149" s="64">
        <v>3.3</v>
      </c>
      <c r="D149" s="202">
        <f>$D$264</f>
        <v>2.9</v>
      </c>
      <c r="E149" s="83">
        <f t="shared" ref="E149:E150" si="84">C149*D149</f>
        <v>9.5699999999999985</v>
      </c>
      <c r="F149" s="71">
        <v>1</v>
      </c>
      <c r="G149" s="68">
        <f>1.2*1.5</f>
        <v>1.7999999999999998</v>
      </c>
      <c r="H149" s="83">
        <f t="shared" si="83"/>
        <v>7.7699999999999987</v>
      </c>
      <c r="I149" s="64">
        <f>$H$265</f>
        <v>1.304</v>
      </c>
      <c r="J149" s="64">
        <v>35</v>
      </c>
      <c r="K149" s="83">
        <f t="shared" si="81"/>
        <v>45.64</v>
      </c>
      <c r="L149" s="47">
        <f t="shared" si="82"/>
        <v>354.62279999999993</v>
      </c>
      <c r="M149" s="79"/>
      <c r="N149" s="96"/>
      <c r="O149" s="96"/>
      <c r="P149" s="97"/>
      <c r="Q149" s="317"/>
    </row>
    <row r="150" spans="1:17">
      <c r="A150" s="10" t="s">
        <v>81</v>
      </c>
      <c r="B150" s="68"/>
      <c r="C150" s="64">
        <v>1.2</v>
      </c>
      <c r="D150" s="64">
        <v>1.2</v>
      </c>
      <c r="E150" s="83">
        <f t="shared" si="84"/>
        <v>1.44</v>
      </c>
      <c r="F150" s="71"/>
      <c r="G150" s="68"/>
      <c r="H150" s="83">
        <f t="shared" si="83"/>
        <v>1.44</v>
      </c>
      <c r="I150" s="64">
        <f>$H$272</f>
        <v>1.2</v>
      </c>
      <c r="J150" s="64">
        <v>35</v>
      </c>
      <c r="K150" s="83">
        <f t="shared" si="81"/>
        <v>42</v>
      </c>
      <c r="L150" s="47">
        <f t="shared" si="82"/>
        <v>60.48</v>
      </c>
      <c r="M150" s="79"/>
      <c r="N150" s="96"/>
      <c r="O150" s="96"/>
      <c r="P150" s="97"/>
      <c r="Q150" s="317"/>
    </row>
    <row r="151" spans="1:17">
      <c r="A151" s="10" t="s">
        <v>59</v>
      </c>
      <c r="B151" s="68"/>
      <c r="C151" s="64">
        <v>2</v>
      </c>
      <c r="D151" s="64">
        <v>1.5</v>
      </c>
      <c r="E151" s="83">
        <f>C151*D151</f>
        <v>3</v>
      </c>
      <c r="F151" s="71"/>
      <c r="G151" s="68"/>
      <c r="H151" s="83">
        <f t="shared" si="83"/>
        <v>3</v>
      </c>
      <c r="I151" s="64">
        <f>$H$272</f>
        <v>1.2</v>
      </c>
      <c r="J151" s="64">
        <v>35</v>
      </c>
      <c r="K151" s="83">
        <f t="shared" si="81"/>
        <v>42</v>
      </c>
      <c r="L151" s="47">
        <f t="shared" si="82"/>
        <v>125.99999999999999</v>
      </c>
      <c r="M151" s="79"/>
      <c r="N151" s="96"/>
      <c r="O151" s="96"/>
      <c r="P151" s="97"/>
      <c r="Q151" s="317"/>
    </row>
    <row r="152" spans="1:17">
      <c r="A152" s="10" t="s">
        <v>70</v>
      </c>
      <c r="B152" s="68"/>
      <c r="C152" s="64">
        <v>0.8</v>
      </c>
      <c r="D152" s="64">
        <v>2</v>
      </c>
      <c r="E152" s="83">
        <f>C152*D152</f>
        <v>1.6</v>
      </c>
      <c r="F152" s="71"/>
      <c r="G152" s="68"/>
      <c r="H152" s="83">
        <f t="shared" si="83"/>
        <v>1.6</v>
      </c>
      <c r="I152" s="64">
        <f>$H$274</f>
        <v>2</v>
      </c>
      <c r="J152" s="64">
        <v>5</v>
      </c>
      <c r="K152" s="83">
        <f t="shared" si="81"/>
        <v>10</v>
      </c>
      <c r="L152" s="47">
        <f t="shared" si="82"/>
        <v>16</v>
      </c>
      <c r="M152" s="79"/>
      <c r="N152" s="96"/>
      <c r="O152" s="96"/>
      <c r="P152" s="97"/>
      <c r="Q152" s="317"/>
    </row>
    <row r="153" spans="1:17">
      <c r="A153" s="86" t="s">
        <v>62</v>
      </c>
      <c r="B153" s="87">
        <v>58</v>
      </c>
      <c r="C153" s="88">
        <v>3.9</v>
      </c>
      <c r="D153" s="88">
        <v>3.3</v>
      </c>
      <c r="E153" s="83">
        <f>D153*C153</f>
        <v>12.87</v>
      </c>
      <c r="F153" s="89"/>
      <c r="G153" s="87"/>
      <c r="H153" s="83">
        <f t="shared" si="83"/>
        <v>12.87</v>
      </c>
      <c r="I153" s="64">
        <f>$H$270</f>
        <v>0.88300000000000001</v>
      </c>
      <c r="J153" s="64">
        <v>35</v>
      </c>
      <c r="K153" s="83">
        <f t="shared" si="81"/>
        <v>30.905000000000001</v>
      </c>
      <c r="L153" s="47">
        <f t="shared" si="82"/>
        <v>397.74734999999998</v>
      </c>
      <c r="M153" s="52"/>
      <c r="N153" s="53"/>
      <c r="O153" s="53"/>
      <c r="P153" s="54"/>
      <c r="Q153" s="317"/>
    </row>
    <row r="154" spans="1:17">
      <c r="A154" s="86" t="s">
        <v>63</v>
      </c>
      <c r="B154" s="87"/>
      <c r="C154" s="88">
        <v>3.9</v>
      </c>
      <c r="D154" s="88">
        <v>3.3</v>
      </c>
      <c r="E154" s="83">
        <f>E153</f>
        <v>12.87</v>
      </c>
      <c r="F154" s="89"/>
      <c r="G154" s="87"/>
      <c r="H154" s="83">
        <f t="shared" si="83"/>
        <v>12.87</v>
      </c>
      <c r="I154" s="64">
        <f>$H$271</f>
        <v>1.286</v>
      </c>
      <c r="J154" s="64">
        <v>5</v>
      </c>
      <c r="K154" s="83">
        <f t="shared" si="81"/>
        <v>6.43</v>
      </c>
      <c r="L154" s="47">
        <f t="shared" si="82"/>
        <v>82.754099999999994</v>
      </c>
      <c r="M154" s="52"/>
      <c r="N154" s="53"/>
      <c r="O154" s="53"/>
      <c r="P154" s="54"/>
      <c r="Q154" s="317"/>
    </row>
    <row r="155" spans="1:17" ht="13.5" thickBot="1">
      <c r="A155" s="42"/>
      <c r="B155" s="93"/>
      <c r="C155" s="94"/>
      <c r="D155" s="94"/>
      <c r="E155" s="90">
        <f>SUM(E145:E154)</f>
        <v>73.539999999999992</v>
      </c>
      <c r="F155" s="95"/>
      <c r="G155" s="93"/>
      <c r="H155" s="94"/>
      <c r="I155" s="94"/>
      <c r="J155" s="94"/>
      <c r="K155" s="94"/>
      <c r="L155" s="44"/>
      <c r="M155" s="50"/>
      <c r="N155" s="80"/>
      <c r="O155" s="80"/>
      <c r="P155" s="51"/>
      <c r="Q155" s="317"/>
    </row>
    <row r="156" spans="1:17" ht="14.25" thickTop="1" thickBot="1">
      <c r="A156" s="25"/>
      <c r="B156" s="320" t="s">
        <v>17</v>
      </c>
      <c r="C156" s="321"/>
      <c r="D156" s="321"/>
      <c r="E156" s="321"/>
      <c r="F156" s="322"/>
      <c r="G156" s="72"/>
      <c r="H156" s="73"/>
      <c r="I156" s="74"/>
      <c r="J156" s="84" t="s">
        <v>21</v>
      </c>
      <c r="K156" s="321">
        <f>SUM(L145:L155)</f>
        <v>1521.8960499999998</v>
      </c>
      <c r="L156" s="322"/>
      <c r="M156" s="46">
        <f>0.15*N146</f>
        <v>8.8692026691013628E-2</v>
      </c>
      <c r="N156" s="83">
        <v>0</v>
      </c>
      <c r="O156" s="45">
        <v>0</v>
      </c>
      <c r="P156" s="83">
        <f>1+O156+N156+M156</f>
        <v>1.0886920266910136</v>
      </c>
      <c r="Q156" s="82"/>
    </row>
    <row r="157" spans="1:17">
      <c r="A157" s="15"/>
      <c r="B157" s="33"/>
      <c r="C157" s="79" t="s">
        <v>65</v>
      </c>
      <c r="D157" s="22">
        <v>1.9000000000000001E-4</v>
      </c>
      <c r="E157" s="22" t="s">
        <v>27</v>
      </c>
      <c r="F157" s="34">
        <v>12</v>
      </c>
      <c r="G157" s="49" t="s">
        <v>25</v>
      </c>
      <c r="H157" s="330">
        <f>(0.5*H144)/3600</f>
        <v>5.1837499999999991E-3</v>
      </c>
      <c r="I157" s="331"/>
      <c r="J157" s="22"/>
      <c r="K157" s="22"/>
      <c r="L157" s="34"/>
      <c r="M157" s="22"/>
      <c r="N157" s="22"/>
      <c r="O157" s="22"/>
      <c r="P157" s="22" t="s">
        <v>24</v>
      </c>
      <c r="Q157" s="23">
        <f>K156*P156</f>
        <v>1656.876095087548</v>
      </c>
    </row>
    <row r="158" spans="1:17" ht="13.5" thickBot="1">
      <c r="A158" s="15"/>
      <c r="B158" s="33"/>
      <c r="C158" s="79" t="s">
        <v>64</v>
      </c>
      <c r="D158" s="66">
        <f>(1.2+1.2)*2+(2+1.5)*2+2*1.5</f>
        <v>14.8</v>
      </c>
      <c r="E158" s="22" t="s">
        <v>28</v>
      </c>
      <c r="F158" s="34">
        <v>0.7</v>
      </c>
      <c r="G158" s="35" t="s">
        <v>26</v>
      </c>
      <c r="H158" s="332">
        <f>((D157*D158)*F157*F158)</f>
        <v>2.3620800000000001E-2</v>
      </c>
      <c r="I158" s="333"/>
      <c r="J158" s="22"/>
      <c r="K158" s="22"/>
      <c r="L158" s="34"/>
      <c r="M158" s="22"/>
      <c r="N158" s="22"/>
      <c r="O158" s="22"/>
      <c r="P158" s="22" t="s">
        <v>29</v>
      </c>
      <c r="Q158" s="23">
        <f>1300*(H159*(N147-(N148)))</f>
        <v>1074.7464</v>
      </c>
    </row>
    <row r="159" spans="1:17" ht="13.5" thickBot="1">
      <c r="A159" s="25"/>
      <c r="B159" s="36"/>
      <c r="C159" s="26"/>
      <c r="D159" s="78"/>
      <c r="E159" s="78"/>
      <c r="F159" s="40"/>
      <c r="G159" s="41" t="s">
        <v>18</v>
      </c>
      <c r="H159" s="334">
        <f>MAX(H157,H158)</f>
        <v>2.3620800000000001E-2</v>
      </c>
      <c r="I159" s="335"/>
      <c r="J159" s="78"/>
      <c r="K159" s="78"/>
      <c r="L159" s="40"/>
      <c r="M159" s="78"/>
      <c r="N159" s="78"/>
      <c r="O159" s="78"/>
      <c r="P159" s="91" t="s">
        <v>66</v>
      </c>
      <c r="Q159" s="92">
        <f>SUM(Q157:Q158)</f>
        <v>2731.622495087548</v>
      </c>
    </row>
    <row r="160" spans="1:17" ht="13.5" thickBot="1">
      <c r="A160" s="76"/>
      <c r="B160" s="76"/>
      <c r="C160" s="76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7"/>
    </row>
    <row r="161" spans="1:17" ht="13.5" thickBot="1">
      <c r="A161" s="19"/>
      <c r="B161" s="339" t="s">
        <v>283</v>
      </c>
      <c r="C161" s="340"/>
      <c r="D161" s="340"/>
      <c r="E161" s="340"/>
      <c r="F161" s="341"/>
      <c r="G161" s="60" t="s">
        <v>19</v>
      </c>
      <c r="H161" s="342">
        <f>E169*D162</f>
        <v>13.311</v>
      </c>
      <c r="I161" s="342"/>
      <c r="J161" s="59" t="s">
        <v>20</v>
      </c>
      <c r="K161" s="59"/>
      <c r="L161" s="61"/>
      <c r="M161" s="59"/>
      <c r="N161" s="59"/>
      <c r="O161" s="59"/>
      <c r="P161" s="59"/>
      <c r="Q161" s="24"/>
    </row>
    <row r="162" spans="1:17">
      <c r="A162" s="16" t="s">
        <v>30</v>
      </c>
      <c r="B162" s="67">
        <v>10</v>
      </c>
      <c r="C162" s="77">
        <v>2.7</v>
      </c>
      <c r="D162" s="202">
        <f>$D$264</f>
        <v>2.9</v>
      </c>
      <c r="E162" s="84">
        <f t="shared" ref="E162:E163" si="85">C162*D162</f>
        <v>7.83</v>
      </c>
      <c r="F162" s="70">
        <v>1</v>
      </c>
      <c r="G162" s="67">
        <f>0.6*2</f>
        <v>1.2</v>
      </c>
      <c r="H162" s="84">
        <f>(E162-(F162*G162))</f>
        <v>6.63</v>
      </c>
      <c r="I162" s="64">
        <f>$H$268</f>
        <v>2.87</v>
      </c>
      <c r="J162" s="77">
        <v>5</v>
      </c>
      <c r="K162" s="84">
        <f t="shared" ref="K162:K169" si="86">J162*I162</f>
        <v>14.350000000000001</v>
      </c>
      <c r="L162" s="85">
        <f t="shared" ref="L162:L169" si="87">H162*I162*J162</f>
        <v>95.140500000000003</v>
      </c>
      <c r="M162" s="17" t="s">
        <v>22</v>
      </c>
      <c r="N162" s="321">
        <f>E170</f>
        <v>37.340000000000003</v>
      </c>
      <c r="O162" s="321"/>
      <c r="P162" s="321"/>
      <c r="Q162" s="316"/>
    </row>
    <row r="163" spans="1:17">
      <c r="A163" s="10" t="s">
        <v>31</v>
      </c>
      <c r="B163" s="68">
        <v>30</v>
      </c>
      <c r="C163" s="64">
        <v>1.7</v>
      </c>
      <c r="D163" s="202">
        <f>$D$264</f>
        <v>2.9</v>
      </c>
      <c r="E163" s="83">
        <f t="shared" si="85"/>
        <v>4.93</v>
      </c>
      <c r="F163" s="71"/>
      <c r="G163" s="68"/>
      <c r="H163" s="83">
        <f t="shared" ref="H163:H169" si="88">(E163-(F163*G163))</f>
        <v>4.93</v>
      </c>
      <c r="I163" s="99">
        <f>$H$266</f>
        <v>1.7210000000000001</v>
      </c>
      <c r="J163" s="64">
        <v>5</v>
      </c>
      <c r="K163" s="83">
        <f t="shared" si="86"/>
        <v>8.6050000000000004</v>
      </c>
      <c r="L163" s="47">
        <f t="shared" si="87"/>
        <v>42.422649999999997</v>
      </c>
      <c r="M163" s="46" t="s">
        <v>23</v>
      </c>
      <c r="N163" s="318">
        <f>K171/(N162*(N164-N165))</f>
        <v>0.51499762797459636</v>
      </c>
      <c r="O163" s="318"/>
      <c r="P163" s="318"/>
      <c r="Q163" s="317"/>
    </row>
    <row r="164" spans="1:17">
      <c r="A164" s="10" t="s">
        <v>49</v>
      </c>
      <c r="B164" s="68">
        <v>45</v>
      </c>
      <c r="C164" s="64">
        <v>2.7</v>
      </c>
      <c r="D164" s="202">
        <f>$D$264</f>
        <v>2.9</v>
      </c>
      <c r="E164" s="83">
        <f>C164*D164</f>
        <v>7.83</v>
      </c>
      <c r="F164" s="71">
        <v>1</v>
      </c>
      <c r="G164" s="68">
        <f>1.2*1.2</f>
        <v>1.44</v>
      </c>
      <c r="H164" s="83">
        <f t="shared" si="88"/>
        <v>6.3900000000000006</v>
      </c>
      <c r="I164" s="64">
        <f>$H$265</f>
        <v>1.304</v>
      </c>
      <c r="J164" s="64">
        <v>35</v>
      </c>
      <c r="K164" s="83">
        <f t="shared" si="86"/>
        <v>45.64</v>
      </c>
      <c r="L164" s="47">
        <f t="shared" si="87"/>
        <v>291.63960000000003</v>
      </c>
      <c r="M164" s="46" t="s">
        <v>52</v>
      </c>
      <c r="N164" s="319">
        <v>20</v>
      </c>
      <c r="O164" s="319"/>
      <c r="P164" s="319"/>
      <c r="Q164" s="317"/>
    </row>
    <row r="165" spans="1:17">
      <c r="A165" s="10" t="s">
        <v>57</v>
      </c>
      <c r="B165" s="68">
        <v>15</v>
      </c>
      <c r="C165" s="64">
        <v>1.7</v>
      </c>
      <c r="D165" s="202">
        <f>$D$264</f>
        <v>2.9</v>
      </c>
      <c r="E165" s="83">
        <f>C165*D165</f>
        <v>4.93</v>
      </c>
      <c r="F165" s="71"/>
      <c r="G165" s="68"/>
      <c r="H165" s="83">
        <f t="shared" si="88"/>
        <v>4.93</v>
      </c>
      <c r="I165" s="64">
        <v>2.46</v>
      </c>
      <c r="J165" s="64">
        <v>0</v>
      </c>
      <c r="K165" s="83">
        <f t="shared" si="86"/>
        <v>0</v>
      </c>
      <c r="L165" s="47">
        <f t="shared" si="87"/>
        <v>0</v>
      </c>
      <c r="M165" s="46" t="s">
        <v>53</v>
      </c>
      <c r="N165" s="319">
        <v>-15</v>
      </c>
      <c r="O165" s="319"/>
      <c r="P165" s="319"/>
      <c r="Q165" s="317"/>
    </row>
    <row r="166" spans="1:17">
      <c r="A166" s="10" t="s">
        <v>81</v>
      </c>
      <c r="B166" s="68"/>
      <c r="C166" s="64">
        <v>1.2</v>
      </c>
      <c r="D166" s="64">
        <v>1.2</v>
      </c>
      <c r="E166" s="83">
        <f t="shared" ref="E166" si="89">C166*D166</f>
        <v>1.44</v>
      </c>
      <c r="F166" s="71"/>
      <c r="G166" s="68"/>
      <c r="H166" s="83">
        <f t="shared" si="88"/>
        <v>1.44</v>
      </c>
      <c r="I166" s="64">
        <f>$H$272</f>
        <v>1.2</v>
      </c>
      <c r="J166" s="64">
        <v>35</v>
      </c>
      <c r="K166" s="83">
        <f t="shared" si="86"/>
        <v>42</v>
      </c>
      <c r="L166" s="47">
        <f t="shared" si="87"/>
        <v>60.48</v>
      </c>
      <c r="M166" s="79"/>
      <c r="N166" s="96"/>
      <c r="O166" s="96"/>
      <c r="P166" s="97"/>
      <c r="Q166" s="317"/>
    </row>
    <row r="167" spans="1:17">
      <c r="A167" s="10" t="s">
        <v>74</v>
      </c>
      <c r="B167" s="68"/>
      <c r="C167" s="64">
        <v>0.6</v>
      </c>
      <c r="D167" s="64">
        <v>2</v>
      </c>
      <c r="E167" s="83">
        <f>C167*D167</f>
        <v>1.2</v>
      </c>
      <c r="F167" s="71"/>
      <c r="G167" s="68"/>
      <c r="H167" s="83">
        <f t="shared" si="88"/>
        <v>1.2</v>
      </c>
      <c r="I167" s="64">
        <f>$H$274</f>
        <v>2</v>
      </c>
      <c r="J167" s="64">
        <v>5</v>
      </c>
      <c r="K167" s="83">
        <f t="shared" si="86"/>
        <v>10</v>
      </c>
      <c r="L167" s="47">
        <f t="shared" si="87"/>
        <v>12</v>
      </c>
      <c r="M167" s="79"/>
      <c r="N167" s="96"/>
      <c r="O167" s="96"/>
      <c r="P167" s="97"/>
      <c r="Q167" s="317"/>
    </row>
    <row r="168" spans="1:17">
      <c r="A168" s="86" t="s">
        <v>62</v>
      </c>
      <c r="B168" s="87">
        <v>58</v>
      </c>
      <c r="C168" s="88">
        <v>1.7</v>
      </c>
      <c r="D168" s="88">
        <v>2.7</v>
      </c>
      <c r="E168" s="83">
        <f>D168*C168</f>
        <v>4.59</v>
      </c>
      <c r="F168" s="89"/>
      <c r="G168" s="87"/>
      <c r="H168" s="83">
        <f t="shared" si="88"/>
        <v>4.59</v>
      </c>
      <c r="I168" s="64">
        <f>$H$270</f>
        <v>0.88300000000000001</v>
      </c>
      <c r="J168" s="64">
        <v>35</v>
      </c>
      <c r="K168" s="83">
        <f t="shared" si="86"/>
        <v>30.905000000000001</v>
      </c>
      <c r="L168" s="47">
        <f t="shared" si="87"/>
        <v>141.85395</v>
      </c>
      <c r="M168" s="52"/>
      <c r="N168" s="53"/>
      <c r="O168" s="53"/>
      <c r="P168" s="54"/>
      <c r="Q168" s="317"/>
    </row>
    <row r="169" spans="1:17">
      <c r="A169" s="86" t="s">
        <v>63</v>
      </c>
      <c r="B169" s="87"/>
      <c r="C169" s="88">
        <v>1.7</v>
      </c>
      <c r="D169" s="88">
        <v>2.7</v>
      </c>
      <c r="E169" s="83">
        <f>E168</f>
        <v>4.59</v>
      </c>
      <c r="F169" s="89"/>
      <c r="G169" s="87"/>
      <c r="H169" s="83">
        <f t="shared" si="88"/>
        <v>4.59</v>
      </c>
      <c r="I169" s="64">
        <f>$H$271</f>
        <v>1.286</v>
      </c>
      <c r="J169" s="64">
        <v>5</v>
      </c>
      <c r="K169" s="83">
        <f t="shared" si="86"/>
        <v>6.43</v>
      </c>
      <c r="L169" s="47">
        <f t="shared" si="87"/>
        <v>29.5137</v>
      </c>
      <c r="M169" s="52"/>
      <c r="N169" s="53"/>
      <c r="O169" s="53"/>
      <c r="P169" s="54"/>
      <c r="Q169" s="317"/>
    </row>
    <row r="170" spans="1:17" ht="13.5" thickBot="1">
      <c r="A170" s="42"/>
      <c r="B170" s="93"/>
      <c r="C170" s="94"/>
      <c r="D170" s="94"/>
      <c r="E170" s="90">
        <f>SUM(E162:E169)</f>
        <v>37.340000000000003</v>
      </c>
      <c r="F170" s="95"/>
      <c r="G170" s="93"/>
      <c r="H170" s="94"/>
      <c r="I170" s="94"/>
      <c r="J170" s="94"/>
      <c r="K170" s="94"/>
      <c r="L170" s="44"/>
      <c r="M170" s="50"/>
      <c r="N170" s="80"/>
      <c r="O170" s="80"/>
      <c r="P170" s="51"/>
      <c r="Q170" s="317"/>
    </row>
    <row r="171" spans="1:17" ht="14.25" thickTop="1" thickBot="1">
      <c r="A171" s="25"/>
      <c r="B171" s="320" t="s">
        <v>17</v>
      </c>
      <c r="C171" s="321"/>
      <c r="D171" s="321"/>
      <c r="E171" s="321"/>
      <c r="F171" s="322"/>
      <c r="G171" s="72"/>
      <c r="H171" s="73"/>
      <c r="I171" s="74"/>
      <c r="J171" s="84" t="s">
        <v>21</v>
      </c>
      <c r="K171" s="321">
        <f>SUM(L162:L170)</f>
        <v>673.05040000000008</v>
      </c>
      <c r="L171" s="322"/>
      <c r="M171" s="46">
        <f>0.15*N163</f>
        <v>7.7249644196189446E-2</v>
      </c>
      <c r="N171" s="83">
        <v>0</v>
      </c>
      <c r="O171" s="45">
        <v>0</v>
      </c>
      <c r="P171" s="83">
        <f>1+O171+N171+M171</f>
        <v>1.0772496441961894</v>
      </c>
      <c r="Q171" s="82"/>
    </row>
    <row r="172" spans="1:17">
      <c r="A172" s="15"/>
      <c r="B172" s="33"/>
      <c r="C172" s="79" t="s">
        <v>65</v>
      </c>
      <c r="D172" s="22">
        <v>1.9000000000000001E-4</v>
      </c>
      <c r="E172" s="22" t="s">
        <v>27</v>
      </c>
      <c r="F172" s="34">
        <v>12</v>
      </c>
      <c r="G172" s="49" t="s">
        <v>25</v>
      </c>
      <c r="H172" s="330">
        <f>(0.5*H161)/3600</f>
        <v>1.8487499999999999E-3</v>
      </c>
      <c r="I172" s="331"/>
      <c r="J172" s="22"/>
      <c r="K172" s="22"/>
      <c r="L172" s="34"/>
      <c r="M172" s="22"/>
      <c r="N172" s="22"/>
      <c r="O172" s="22"/>
      <c r="P172" s="22" t="s">
        <v>24</v>
      </c>
      <c r="Q172" s="23">
        <f>K171*P171</f>
        <v>725.04330392610302</v>
      </c>
    </row>
    <row r="173" spans="1:17" ht="13.5" thickBot="1">
      <c r="A173" s="15"/>
      <c r="B173" s="33"/>
      <c r="C173" s="79" t="s">
        <v>64</v>
      </c>
      <c r="D173" s="66">
        <f>(1.2+1.2)*2</f>
        <v>4.8</v>
      </c>
      <c r="E173" s="22" t="s">
        <v>28</v>
      </c>
      <c r="F173" s="34">
        <v>0.7</v>
      </c>
      <c r="G173" s="35" t="s">
        <v>26</v>
      </c>
      <c r="H173" s="332">
        <f>((D172*D173)*F172*F173)</f>
        <v>7.6607999999999997E-3</v>
      </c>
      <c r="I173" s="333"/>
      <c r="J173" s="22"/>
      <c r="K173" s="22"/>
      <c r="L173" s="34"/>
      <c r="M173" s="22"/>
      <c r="N173" s="22"/>
      <c r="O173" s="22"/>
      <c r="P173" s="22" t="s">
        <v>29</v>
      </c>
      <c r="Q173" s="23">
        <f>1300*(H174*(N164-(N165)))</f>
        <v>348.56639999999999</v>
      </c>
    </row>
    <row r="174" spans="1:17" ht="13.5" thickBot="1">
      <c r="A174" s="25"/>
      <c r="B174" s="36"/>
      <c r="C174" s="26"/>
      <c r="D174" s="78"/>
      <c r="E174" s="78"/>
      <c r="F174" s="40"/>
      <c r="G174" s="41" t="s">
        <v>18</v>
      </c>
      <c r="H174" s="334">
        <f>MAX(H172,H173)</f>
        <v>7.6607999999999997E-3</v>
      </c>
      <c r="I174" s="335"/>
      <c r="J174" s="78"/>
      <c r="K174" s="78"/>
      <c r="L174" s="40"/>
      <c r="M174" s="78"/>
      <c r="N174" s="78"/>
      <c r="O174" s="78"/>
      <c r="P174" s="91" t="s">
        <v>66</v>
      </c>
      <c r="Q174" s="102">
        <f>SUM(Q172:Q173)</f>
        <v>1073.6097039261031</v>
      </c>
    </row>
    <row r="175" spans="1:17" ht="13.5" thickBot="1">
      <c r="A175" s="76"/>
      <c r="B175" s="76"/>
      <c r="C175" s="76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7"/>
    </row>
    <row r="176" spans="1:17" ht="13.5" thickBot="1">
      <c r="A176" s="19"/>
      <c r="B176" s="339" t="s">
        <v>284</v>
      </c>
      <c r="C176" s="340"/>
      <c r="D176" s="340"/>
      <c r="E176" s="340"/>
      <c r="F176" s="341"/>
      <c r="G176" s="60" t="s">
        <v>19</v>
      </c>
      <c r="H176" s="342">
        <f>E186*D177</f>
        <v>24.534000000000002</v>
      </c>
      <c r="I176" s="342"/>
      <c r="J176" s="59" t="s">
        <v>20</v>
      </c>
      <c r="K176" s="59"/>
      <c r="L176" s="61"/>
      <c r="M176" s="59"/>
      <c r="N176" s="59"/>
      <c r="O176" s="59"/>
      <c r="P176" s="59"/>
      <c r="Q176" s="24"/>
    </row>
    <row r="177" spans="1:17">
      <c r="A177" s="16" t="s">
        <v>32</v>
      </c>
      <c r="B177" s="67">
        <v>30</v>
      </c>
      <c r="C177" s="77">
        <v>1.375</v>
      </c>
      <c r="D177" s="202">
        <f t="shared" ref="D177:D182" si="90">$D$264</f>
        <v>2.9</v>
      </c>
      <c r="E177" s="84">
        <f t="shared" ref="E177:E178" si="91">C177*D177</f>
        <v>3.9874999999999998</v>
      </c>
      <c r="F177" s="70"/>
      <c r="G177" s="67"/>
      <c r="H177" s="84">
        <f>(E177-(F177*G177))</f>
        <v>3.9874999999999998</v>
      </c>
      <c r="I177" s="99">
        <f>$H$266</f>
        <v>1.7210000000000001</v>
      </c>
      <c r="J177" s="77">
        <v>-5</v>
      </c>
      <c r="K177" s="84">
        <f t="shared" ref="K177:K186" si="92">J177*I177</f>
        <v>-8.6050000000000004</v>
      </c>
      <c r="L177" s="85">
        <f t="shared" ref="L177:L186" si="93">H177*I177*J177</f>
        <v>-34.312437500000001</v>
      </c>
      <c r="M177" s="17" t="s">
        <v>22</v>
      </c>
      <c r="N177" s="321">
        <f>E187</f>
        <v>58.290000000000006</v>
      </c>
      <c r="O177" s="321"/>
      <c r="P177" s="321"/>
      <c r="Q177" s="316"/>
    </row>
    <row r="178" spans="1:17">
      <c r="A178" s="10" t="s">
        <v>68</v>
      </c>
      <c r="B178" s="68">
        <v>30</v>
      </c>
      <c r="C178" s="64">
        <f>4.2-1.375</f>
        <v>2.8250000000000002</v>
      </c>
      <c r="D178" s="202">
        <f t="shared" si="90"/>
        <v>2.9</v>
      </c>
      <c r="E178" s="83">
        <f t="shared" si="91"/>
        <v>8.1925000000000008</v>
      </c>
      <c r="F178" s="71">
        <v>2</v>
      </c>
      <c r="G178" s="68">
        <f>0.8*2</f>
        <v>1.6</v>
      </c>
      <c r="H178" s="83">
        <f t="shared" ref="H178:H186" si="94">(E178-(F178*G178))</f>
        <v>4.9925000000000006</v>
      </c>
      <c r="I178" s="99">
        <f>$H$266</f>
        <v>1.7210000000000001</v>
      </c>
      <c r="J178" s="64">
        <v>0</v>
      </c>
      <c r="K178" s="83">
        <f t="shared" si="92"/>
        <v>0</v>
      </c>
      <c r="L178" s="47">
        <f t="shared" si="93"/>
        <v>0</v>
      </c>
      <c r="M178" s="46" t="s">
        <v>23</v>
      </c>
      <c r="N178" s="318">
        <f>K188/(N177*(N179-N180))</f>
        <v>0.21704538371361581</v>
      </c>
      <c r="O178" s="318"/>
      <c r="P178" s="318"/>
      <c r="Q178" s="317"/>
    </row>
    <row r="179" spans="1:17">
      <c r="A179" s="10" t="s">
        <v>71</v>
      </c>
      <c r="B179" s="68">
        <v>15</v>
      </c>
      <c r="C179" s="64">
        <v>3.3</v>
      </c>
      <c r="D179" s="202">
        <f t="shared" si="90"/>
        <v>2.9</v>
      </c>
      <c r="E179" s="83">
        <f>C179*D179</f>
        <v>9.5699999999999985</v>
      </c>
      <c r="F179" s="71">
        <v>1</v>
      </c>
      <c r="G179" s="68">
        <f>0.8*2</f>
        <v>1.6</v>
      </c>
      <c r="H179" s="83">
        <f t="shared" si="94"/>
        <v>7.9699999999999989</v>
      </c>
      <c r="I179" s="64">
        <v>2.46</v>
      </c>
      <c r="J179" s="64">
        <v>5</v>
      </c>
      <c r="K179" s="83">
        <f t="shared" si="92"/>
        <v>12.3</v>
      </c>
      <c r="L179" s="47">
        <f t="shared" si="93"/>
        <v>98.030999999999992</v>
      </c>
      <c r="M179" s="46" t="s">
        <v>52</v>
      </c>
      <c r="N179" s="319">
        <v>15</v>
      </c>
      <c r="O179" s="319"/>
      <c r="P179" s="319"/>
      <c r="Q179" s="317"/>
    </row>
    <row r="180" spans="1:17">
      <c r="A180" s="10" t="s">
        <v>78</v>
      </c>
      <c r="B180" s="68">
        <v>45</v>
      </c>
      <c r="C180" s="64">
        <v>1.2</v>
      </c>
      <c r="D180" s="202">
        <f t="shared" si="90"/>
        <v>2.9</v>
      </c>
      <c r="E180" s="83">
        <f>C180*D180</f>
        <v>3.48</v>
      </c>
      <c r="F180" s="71">
        <v>1</v>
      </c>
      <c r="G180" s="68">
        <f>0.8*2</f>
        <v>1.6</v>
      </c>
      <c r="H180" s="83">
        <f t="shared" si="94"/>
        <v>1.88</v>
      </c>
      <c r="I180" s="64">
        <f>$H$265</f>
        <v>1.304</v>
      </c>
      <c r="J180" s="64">
        <v>30</v>
      </c>
      <c r="K180" s="83">
        <f t="shared" si="92"/>
        <v>39.120000000000005</v>
      </c>
      <c r="L180" s="47">
        <f t="shared" si="93"/>
        <v>73.545599999999993</v>
      </c>
      <c r="M180" s="46" t="s">
        <v>53</v>
      </c>
      <c r="N180" s="319">
        <v>-15</v>
      </c>
      <c r="O180" s="319"/>
      <c r="P180" s="319"/>
      <c r="Q180" s="317"/>
    </row>
    <row r="181" spans="1:17">
      <c r="A181" s="10" t="s">
        <v>77</v>
      </c>
      <c r="B181" s="68">
        <v>30</v>
      </c>
      <c r="C181" s="64">
        <v>1.8</v>
      </c>
      <c r="D181" s="202">
        <f t="shared" si="90"/>
        <v>2.9</v>
      </c>
      <c r="E181" s="83">
        <f>C181*D181</f>
        <v>5.22</v>
      </c>
      <c r="F181" s="71"/>
      <c r="G181" s="68"/>
      <c r="H181" s="83">
        <f t="shared" ref="H181:H182" si="95">(E181-(F181*G181))</f>
        <v>5.22</v>
      </c>
      <c r="I181" s="64">
        <v>1.7210000000000001</v>
      </c>
      <c r="J181" s="64">
        <v>-5</v>
      </c>
      <c r="K181" s="83">
        <f t="shared" ref="K181:K182" si="96">J181*I181</f>
        <v>-8.6050000000000004</v>
      </c>
      <c r="L181" s="47">
        <f t="shared" ref="L181:L182" si="97">H181*I181*J181</f>
        <v>-44.918100000000003</v>
      </c>
      <c r="M181" s="79"/>
      <c r="N181" s="96"/>
      <c r="O181" s="96"/>
      <c r="P181" s="97"/>
      <c r="Q181" s="317"/>
    </row>
    <row r="182" spans="1:17">
      <c r="A182" s="10" t="s">
        <v>79</v>
      </c>
      <c r="B182" s="68">
        <v>10</v>
      </c>
      <c r="C182" s="64">
        <v>2.8</v>
      </c>
      <c r="D182" s="202">
        <f t="shared" si="90"/>
        <v>2.9</v>
      </c>
      <c r="E182" s="83">
        <f>C182*D182</f>
        <v>8.1199999999999992</v>
      </c>
      <c r="F182" s="71">
        <v>1</v>
      </c>
      <c r="G182" s="68">
        <f>0.6*2</f>
        <v>1.2</v>
      </c>
      <c r="H182" s="83">
        <f t="shared" si="95"/>
        <v>6.919999999999999</v>
      </c>
      <c r="I182" s="64">
        <f>$H$268</f>
        <v>2.87</v>
      </c>
      <c r="J182" s="64">
        <v>-5</v>
      </c>
      <c r="K182" s="83">
        <f t="shared" si="96"/>
        <v>-14.350000000000001</v>
      </c>
      <c r="L182" s="47">
        <f t="shared" si="97"/>
        <v>-99.301999999999992</v>
      </c>
      <c r="M182" s="79"/>
      <c r="N182" s="96"/>
      <c r="O182" s="96"/>
      <c r="P182" s="97"/>
      <c r="Q182" s="317"/>
    </row>
    <row r="183" spans="1:17">
      <c r="A183" s="10" t="s">
        <v>74</v>
      </c>
      <c r="B183" s="68"/>
      <c r="C183" s="64">
        <v>0.6</v>
      </c>
      <c r="D183" s="64">
        <v>2</v>
      </c>
      <c r="E183" s="191">
        <f>C183*D183</f>
        <v>1.2</v>
      </c>
      <c r="F183" s="71"/>
      <c r="G183" s="68"/>
      <c r="H183" s="191">
        <f t="shared" ref="H183" si="98">(E183-(F183*G183))</f>
        <v>1.2</v>
      </c>
      <c r="I183" s="64">
        <f>$H$274</f>
        <v>2</v>
      </c>
      <c r="J183" s="64">
        <v>5</v>
      </c>
      <c r="K183" s="191">
        <f t="shared" ref="K183" si="99">J183*I183</f>
        <v>10</v>
      </c>
      <c r="L183" s="47">
        <f t="shared" ref="L183" si="100">H183*I183*J183</f>
        <v>12</v>
      </c>
      <c r="M183" s="189"/>
      <c r="N183" s="96"/>
      <c r="O183" s="96"/>
      <c r="P183" s="97"/>
      <c r="Q183" s="317"/>
    </row>
    <row r="184" spans="1:17">
      <c r="A184" s="10" t="s">
        <v>82</v>
      </c>
      <c r="B184" s="68"/>
      <c r="C184" s="64">
        <v>0.8</v>
      </c>
      <c r="D184" s="64">
        <v>2</v>
      </c>
      <c r="E184" s="83">
        <f t="shared" ref="E184" si="101">C184*D184</f>
        <v>1.6</v>
      </c>
      <c r="F184" s="71"/>
      <c r="G184" s="68"/>
      <c r="H184" s="83">
        <f t="shared" si="94"/>
        <v>1.6</v>
      </c>
      <c r="I184" s="64">
        <f>$H$274</f>
        <v>2</v>
      </c>
      <c r="J184" s="64">
        <v>30</v>
      </c>
      <c r="K184" s="83">
        <f t="shared" si="92"/>
        <v>60</v>
      </c>
      <c r="L184" s="47">
        <f t="shared" si="93"/>
        <v>96</v>
      </c>
      <c r="M184" s="79"/>
      <c r="N184" s="96"/>
      <c r="O184" s="96"/>
      <c r="P184" s="97"/>
      <c r="Q184" s="317"/>
    </row>
    <row r="185" spans="1:17">
      <c r="A185" s="86" t="s">
        <v>62</v>
      </c>
      <c r="B185" s="87">
        <v>58</v>
      </c>
      <c r="C185" s="88"/>
      <c r="D185" s="88"/>
      <c r="E185" s="83">
        <f>4.2*1.5+1.2*1.8</f>
        <v>8.4600000000000009</v>
      </c>
      <c r="F185" s="89"/>
      <c r="G185" s="87"/>
      <c r="H185" s="83">
        <f t="shared" si="94"/>
        <v>8.4600000000000009</v>
      </c>
      <c r="I185" s="64">
        <f>$H$270</f>
        <v>0.88300000000000001</v>
      </c>
      <c r="J185" s="64">
        <v>30</v>
      </c>
      <c r="K185" s="83">
        <f t="shared" si="92"/>
        <v>26.490000000000002</v>
      </c>
      <c r="L185" s="47">
        <f t="shared" si="93"/>
        <v>224.10540000000003</v>
      </c>
      <c r="M185" s="52"/>
      <c r="N185" s="53"/>
      <c r="O185" s="53"/>
      <c r="P185" s="54"/>
      <c r="Q185" s="317"/>
    </row>
    <row r="186" spans="1:17">
      <c r="A186" s="86" t="s">
        <v>63</v>
      </c>
      <c r="B186" s="87"/>
      <c r="C186" s="88"/>
      <c r="D186" s="88"/>
      <c r="E186" s="83">
        <f>E185</f>
        <v>8.4600000000000009</v>
      </c>
      <c r="F186" s="89"/>
      <c r="G186" s="87"/>
      <c r="H186" s="83">
        <f t="shared" si="94"/>
        <v>8.4600000000000009</v>
      </c>
      <c r="I186" s="64">
        <f>$H$271</f>
        <v>1.286</v>
      </c>
      <c r="J186" s="64">
        <v>5</v>
      </c>
      <c r="K186" s="83">
        <f t="shared" si="92"/>
        <v>6.43</v>
      </c>
      <c r="L186" s="47">
        <f t="shared" si="93"/>
        <v>54.397800000000004</v>
      </c>
      <c r="M186" s="52"/>
      <c r="N186" s="53"/>
      <c r="O186" s="53"/>
      <c r="P186" s="54"/>
      <c r="Q186" s="317"/>
    </row>
    <row r="187" spans="1:17" ht="13.5" thickBot="1">
      <c r="A187" s="42"/>
      <c r="B187" s="93"/>
      <c r="C187" s="94"/>
      <c r="D187" s="94"/>
      <c r="E187" s="90">
        <f>SUM(E177:E186)</f>
        <v>58.290000000000006</v>
      </c>
      <c r="F187" s="95"/>
      <c r="G187" s="93"/>
      <c r="H187" s="94"/>
      <c r="I187" s="94"/>
      <c r="J187" s="94"/>
      <c r="K187" s="94"/>
      <c r="L187" s="44"/>
      <c r="M187" s="50"/>
      <c r="N187" s="80"/>
      <c r="O187" s="80"/>
      <c r="P187" s="51"/>
      <c r="Q187" s="317"/>
    </row>
    <row r="188" spans="1:17" ht="14.25" thickTop="1" thickBot="1">
      <c r="A188" s="25"/>
      <c r="B188" s="320" t="s">
        <v>17</v>
      </c>
      <c r="C188" s="321"/>
      <c r="D188" s="321"/>
      <c r="E188" s="321"/>
      <c r="F188" s="322"/>
      <c r="G188" s="72"/>
      <c r="H188" s="73"/>
      <c r="I188" s="74"/>
      <c r="J188" s="84" t="s">
        <v>21</v>
      </c>
      <c r="K188" s="321">
        <f>SUM(L177:L187)</f>
        <v>379.54726250000004</v>
      </c>
      <c r="L188" s="322"/>
      <c r="M188" s="46">
        <f>0.15*N178</f>
        <v>3.2556807557042371E-2</v>
      </c>
      <c r="N188" s="83">
        <v>0</v>
      </c>
      <c r="O188" s="45">
        <v>0</v>
      </c>
      <c r="P188" s="83">
        <f>1+O188+N188+M188</f>
        <v>1.0325568075570424</v>
      </c>
      <c r="Q188" s="82"/>
    </row>
    <row r="189" spans="1:17">
      <c r="A189" s="15"/>
      <c r="B189" s="33"/>
      <c r="C189" s="79" t="s">
        <v>65</v>
      </c>
      <c r="D189" s="22">
        <v>1.9000000000000001E-4</v>
      </c>
      <c r="E189" s="22" t="s">
        <v>27</v>
      </c>
      <c r="F189" s="34">
        <v>12</v>
      </c>
      <c r="G189" s="49" t="s">
        <v>25</v>
      </c>
      <c r="H189" s="330">
        <f>(0.5*H176)/3600</f>
        <v>3.4075000000000004E-3</v>
      </c>
      <c r="I189" s="331"/>
      <c r="J189" s="22"/>
      <c r="K189" s="22"/>
      <c r="L189" s="34"/>
      <c r="M189" s="22"/>
      <c r="N189" s="22"/>
      <c r="O189" s="22"/>
      <c r="P189" s="22" t="s">
        <v>24</v>
      </c>
      <c r="Q189" s="23">
        <f>K188*P188</f>
        <v>391.90410968401477</v>
      </c>
    </row>
    <row r="190" spans="1:17" ht="13.5" thickBot="1">
      <c r="A190" s="15"/>
      <c r="B190" s="33"/>
      <c r="C190" s="79" t="s">
        <v>64</v>
      </c>
      <c r="D190" s="66">
        <f>(0.8+2)*2</f>
        <v>5.6</v>
      </c>
      <c r="E190" s="22" t="s">
        <v>28</v>
      </c>
      <c r="F190" s="34">
        <v>0.7</v>
      </c>
      <c r="G190" s="35" t="s">
        <v>26</v>
      </c>
      <c r="H190" s="332">
        <f>((D189*D190)*F189*F190)</f>
        <v>8.9376000000000004E-3</v>
      </c>
      <c r="I190" s="333"/>
      <c r="J190" s="22"/>
      <c r="K190" s="22"/>
      <c r="L190" s="34"/>
      <c r="M190" s="22"/>
      <c r="N190" s="22"/>
      <c r="O190" s="22"/>
      <c r="P190" s="22" t="s">
        <v>29</v>
      </c>
      <c r="Q190" s="23">
        <f>1300*(H191*(N179-(N180)))</f>
        <v>348.56640000000004</v>
      </c>
    </row>
    <row r="191" spans="1:17" ht="13.5" thickBot="1">
      <c r="A191" s="25"/>
      <c r="B191" s="36"/>
      <c r="C191" s="26"/>
      <c r="D191" s="78"/>
      <c r="E191" s="78"/>
      <c r="F191" s="40"/>
      <c r="G191" s="41" t="s">
        <v>18</v>
      </c>
      <c r="H191" s="334">
        <f>MAX(H189,H190)</f>
        <v>8.9376000000000004E-3</v>
      </c>
      <c r="I191" s="335"/>
      <c r="J191" s="78"/>
      <c r="K191" s="78"/>
      <c r="L191" s="40"/>
      <c r="M191" s="78"/>
      <c r="N191" s="78"/>
      <c r="O191" s="78"/>
      <c r="P191" s="91" t="s">
        <v>66</v>
      </c>
      <c r="Q191" s="102">
        <f>SUM(Q189:Q190)</f>
        <v>740.47050968401481</v>
      </c>
    </row>
    <row r="192" spans="1:17" ht="13.5" thickBot="1">
      <c r="A192" s="198"/>
      <c r="B192" s="198"/>
      <c r="C192" s="198"/>
      <c r="D192" s="204"/>
      <c r="E192" s="204"/>
      <c r="F192" s="204"/>
      <c r="G192" s="204"/>
      <c r="H192" s="204"/>
      <c r="I192" s="204"/>
      <c r="J192" s="204"/>
      <c r="K192" s="204"/>
      <c r="L192" s="204"/>
      <c r="M192" s="204"/>
      <c r="N192" s="204"/>
      <c r="O192" s="204"/>
      <c r="P192" s="124"/>
      <c r="Q192" s="125"/>
    </row>
    <row r="193" spans="1:17" ht="13.5" thickBot="1">
      <c r="A193" s="19"/>
      <c r="B193" s="339" t="s">
        <v>303</v>
      </c>
      <c r="C193" s="340"/>
      <c r="D193" s="340"/>
      <c r="E193" s="340"/>
      <c r="F193" s="341"/>
      <c r="G193" s="60" t="s">
        <v>19</v>
      </c>
      <c r="H193" s="342">
        <f>E201*D194</f>
        <v>17.11</v>
      </c>
      <c r="I193" s="342"/>
      <c r="J193" s="59" t="s">
        <v>20</v>
      </c>
      <c r="K193" s="59"/>
      <c r="L193" s="61"/>
      <c r="M193" s="59"/>
      <c r="N193" s="59"/>
      <c r="O193" s="59"/>
      <c r="P193" s="59"/>
      <c r="Q193" s="24"/>
    </row>
    <row r="194" spans="1:17">
      <c r="A194" s="16" t="s">
        <v>32</v>
      </c>
      <c r="B194" s="67">
        <v>10</v>
      </c>
      <c r="C194" s="202">
        <v>2.95</v>
      </c>
      <c r="D194" s="202">
        <f>$D$264</f>
        <v>2.9</v>
      </c>
      <c r="E194" s="196">
        <f t="shared" ref="E194:E195" si="102">C194*D194</f>
        <v>8.5549999999999997</v>
      </c>
      <c r="F194" s="70"/>
      <c r="G194" s="67"/>
      <c r="H194" s="196">
        <f>(E194-(F194*G194))</f>
        <v>8.5549999999999997</v>
      </c>
      <c r="I194" s="202">
        <f>$H$268</f>
        <v>2.87</v>
      </c>
      <c r="J194" s="202">
        <v>0</v>
      </c>
      <c r="K194" s="196">
        <f t="shared" ref="K194:K201" si="103">J194*I194</f>
        <v>0</v>
      </c>
      <c r="L194" s="197">
        <f t="shared" ref="L194:L201" si="104">H194*I194*J194</f>
        <v>0</v>
      </c>
      <c r="M194" s="17" t="s">
        <v>22</v>
      </c>
      <c r="N194" s="321">
        <f>E202</f>
        <v>44.36</v>
      </c>
      <c r="O194" s="321"/>
      <c r="P194" s="321"/>
      <c r="Q194" s="316"/>
    </row>
    <row r="195" spans="1:17">
      <c r="A195" s="10" t="s">
        <v>68</v>
      </c>
      <c r="B195" s="68">
        <v>10</v>
      </c>
      <c r="C195" s="64">
        <v>2</v>
      </c>
      <c r="D195" s="202">
        <f>$D$264</f>
        <v>2.9</v>
      </c>
      <c r="E195" s="201">
        <f t="shared" si="102"/>
        <v>5.8</v>
      </c>
      <c r="F195" s="71">
        <v>1</v>
      </c>
      <c r="G195" s="68">
        <f>0.8*2</f>
        <v>1.6</v>
      </c>
      <c r="H195" s="201">
        <f t="shared" ref="H195:H201" si="105">(E195-(F195*G195))</f>
        <v>4.1999999999999993</v>
      </c>
      <c r="I195" s="202">
        <f>$H$268</f>
        <v>2.87</v>
      </c>
      <c r="J195" s="64">
        <v>0</v>
      </c>
      <c r="K195" s="201">
        <f t="shared" si="103"/>
        <v>0</v>
      </c>
      <c r="L195" s="47">
        <f t="shared" si="104"/>
        <v>0</v>
      </c>
      <c r="M195" s="46" t="s">
        <v>23</v>
      </c>
      <c r="N195" s="318">
        <f>K203/(N194*(N196-N197))</f>
        <v>0.35701623083859335</v>
      </c>
      <c r="O195" s="318"/>
      <c r="P195" s="318"/>
      <c r="Q195" s="317"/>
    </row>
    <row r="196" spans="1:17">
      <c r="A196" s="10" t="s">
        <v>71</v>
      </c>
      <c r="B196" s="68">
        <v>45</v>
      </c>
      <c r="C196" s="64">
        <v>2.95</v>
      </c>
      <c r="D196" s="202">
        <f>$D$264</f>
        <v>2.9</v>
      </c>
      <c r="E196" s="201">
        <f>C196*D196</f>
        <v>8.5549999999999997</v>
      </c>
      <c r="F196" s="71">
        <v>1</v>
      </c>
      <c r="G196" s="68">
        <f>1.5*1.5</f>
        <v>2.25</v>
      </c>
      <c r="H196" s="201">
        <f t="shared" si="105"/>
        <v>6.3049999999999997</v>
      </c>
      <c r="I196" s="64">
        <f>$H$265</f>
        <v>1.304</v>
      </c>
      <c r="J196" s="64">
        <v>25</v>
      </c>
      <c r="K196" s="201">
        <f t="shared" si="103"/>
        <v>32.6</v>
      </c>
      <c r="L196" s="47">
        <f t="shared" si="104"/>
        <v>205.54299999999998</v>
      </c>
      <c r="M196" s="46" t="s">
        <v>52</v>
      </c>
      <c r="N196" s="319">
        <v>10</v>
      </c>
      <c r="O196" s="319"/>
      <c r="P196" s="319"/>
      <c r="Q196" s="317"/>
    </row>
    <row r="197" spans="1:17">
      <c r="A197" s="10" t="s">
        <v>78</v>
      </c>
      <c r="B197" s="68">
        <v>15</v>
      </c>
      <c r="C197" s="64">
        <v>2</v>
      </c>
      <c r="D197" s="202">
        <f>$D$264</f>
        <v>2.9</v>
      </c>
      <c r="E197" s="201">
        <f>C197*D197</f>
        <v>5.8</v>
      </c>
      <c r="F197" s="71"/>
      <c r="G197" s="68"/>
      <c r="H197" s="201">
        <f t="shared" si="105"/>
        <v>5.8</v>
      </c>
      <c r="I197" s="64">
        <f>$H$267</f>
        <v>2.46</v>
      </c>
      <c r="J197" s="64">
        <v>-5</v>
      </c>
      <c r="K197" s="201">
        <f t="shared" si="103"/>
        <v>-12.3</v>
      </c>
      <c r="L197" s="47">
        <f t="shared" si="104"/>
        <v>-71.339999999999989</v>
      </c>
      <c r="M197" s="46" t="s">
        <v>53</v>
      </c>
      <c r="N197" s="319">
        <v>-15</v>
      </c>
      <c r="O197" s="319"/>
      <c r="P197" s="319"/>
      <c r="Q197" s="317"/>
    </row>
    <row r="198" spans="1:17">
      <c r="A198" s="10" t="s">
        <v>81</v>
      </c>
      <c r="B198" s="68"/>
      <c r="C198" s="64">
        <v>1.5</v>
      </c>
      <c r="D198" s="64">
        <v>1.5</v>
      </c>
      <c r="E198" s="201">
        <f>C198*D198</f>
        <v>2.25</v>
      </c>
      <c r="F198" s="71"/>
      <c r="G198" s="68"/>
      <c r="H198" s="201">
        <f t="shared" si="105"/>
        <v>2.25</v>
      </c>
      <c r="I198" s="64">
        <f>$H$272</f>
        <v>1.2</v>
      </c>
      <c r="J198" s="64">
        <v>25</v>
      </c>
      <c r="K198" s="201">
        <f t="shared" si="103"/>
        <v>30</v>
      </c>
      <c r="L198" s="47">
        <f t="shared" si="104"/>
        <v>67.5</v>
      </c>
      <c r="M198" s="198"/>
      <c r="N198" s="96"/>
      <c r="O198" s="96"/>
      <c r="P198" s="97"/>
      <c r="Q198" s="317"/>
    </row>
    <row r="199" spans="1:17">
      <c r="A199" s="10" t="s">
        <v>82</v>
      </c>
      <c r="B199" s="68"/>
      <c r="C199" s="64">
        <v>0.8</v>
      </c>
      <c r="D199" s="64">
        <v>2</v>
      </c>
      <c r="E199" s="201">
        <f t="shared" ref="E199" si="106">C199*D199</f>
        <v>1.6</v>
      </c>
      <c r="F199" s="71"/>
      <c r="G199" s="68"/>
      <c r="H199" s="201">
        <f t="shared" si="105"/>
        <v>1.6</v>
      </c>
      <c r="I199" s="64">
        <f>$H$274</f>
        <v>2</v>
      </c>
      <c r="J199" s="64">
        <v>0</v>
      </c>
      <c r="K199" s="201">
        <f t="shared" si="103"/>
        <v>0</v>
      </c>
      <c r="L199" s="47">
        <f t="shared" si="104"/>
        <v>0</v>
      </c>
      <c r="M199" s="198"/>
      <c r="N199" s="96"/>
      <c r="O199" s="96"/>
      <c r="P199" s="97"/>
      <c r="Q199" s="317"/>
    </row>
    <row r="200" spans="1:17">
      <c r="A200" s="86" t="s">
        <v>62</v>
      </c>
      <c r="B200" s="87">
        <v>58</v>
      </c>
      <c r="C200" s="88"/>
      <c r="D200" s="88"/>
      <c r="E200" s="201">
        <v>5.9</v>
      </c>
      <c r="F200" s="89"/>
      <c r="G200" s="87"/>
      <c r="H200" s="201">
        <f t="shared" si="105"/>
        <v>5.9</v>
      </c>
      <c r="I200" s="64">
        <f>$H$270</f>
        <v>0.88300000000000001</v>
      </c>
      <c r="J200" s="64">
        <v>30</v>
      </c>
      <c r="K200" s="201">
        <f t="shared" si="103"/>
        <v>26.490000000000002</v>
      </c>
      <c r="L200" s="47">
        <f t="shared" si="104"/>
        <v>156.29100000000003</v>
      </c>
      <c r="M200" s="52"/>
      <c r="N200" s="205"/>
      <c r="O200" s="205"/>
      <c r="P200" s="54"/>
      <c r="Q200" s="317"/>
    </row>
    <row r="201" spans="1:17">
      <c r="A201" s="86" t="s">
        <v>63</v>
      </c>
      <c r="B201" s="87"/>
      <c r="C201" s="88"/>
      <c r="D201" s="88"/>
      <c r="E201" s="201">
        <f>E200</f>
        <v>5.9</v>
      </c>
      <c r="F201" s="89"/>
      <c r="G201" s="87"/>
      <c r="H201" s="201">
        <f t="shared" si="105"/>
        <v>5.9</v>
      </c>
      <c r="I201" s="64">
        <f>$H$271</f>
        <v>1.286</v>
      </c>
      <c r="J201" s="64">
        <v>5</v>
      </c>
      <c r="K201" s="201">
        <f t="shared" si="103"/>
        <v>6.43</v>
      </c>
      <c r="L201" s="47">
        <f t="shared" si="104"/>
        <v>37.937000000000005</v>
      </c>
      <c r="M201" s="52"/>
      <c r="N201" s="205"/>
      <c r="O201" s="205"/>
      <c r="P201" s="54"/>
      <c r="Q201" s="317"/>
    </row>
    <row r="202" spans="1:17" ht="13.5" thickBot="1">
      <c r="A202" s="42"/>
      <c r="B202" s="93"/>
      <c r="C202" s="94"/>
      <c r="D202" s="94"/>
      <c r="E202" s="90">
        <f>SUM(E194:E201)</f>
        <v>44.36</v>
      </c>
      <c r="F202" s="95"/>
      <c r="G202" s="93"/>
      <c r="H202" s="94"/>
      <c r="I202" s="94"/>
      <c r="J202" s="94"/>
      <c r="K202" s="94"/>
      <c r="L202" s="44"/>
      <c r="M202" s="50"/>
      <c r="N202" s="80"/>
      <c r="O202" s="80"/>
      <c r="P202" s="51"/>
      <c r="Q202" s="317"/>
    </row>
    <row r="203" spans="1:17" ht="14.25" thickTop="1" thickBot="1">
      <c r="A203" s="25"/>
      <c r="B203" s="320" t="s">
        <v>17</v>
      </c>
      <c r="C203" s="321"/>
      <c r="D203" s="321"/>
      <c r="E203" s="321"/>
      <c r="F203" s="322"/>
      <c r="G203" s="72"/>
      <c r="H203" s="73"/>
      <c r="I203" s="74"/>
      <c r="J203" s="196" t="s">
        <v>21</v>
      </c>
      <c r="K203" s="321">
        <f>SUM(L194:L202)</f>
        <v>395.93100000000004</v>
      </c>
      <c r="L203" s="322"/>
      <c r="M203" s="46">
        <f>0.15*N195</f>
        <v>5.3552434625789E-2</v>
      </c>
      <c r="N203" s="201">
        <v>0</v>
      </c>
      <c r="O203" s="45">
        <v>0</v>
      </c>
      <c r="P203" s="201">
        <f>1+O203+N203+M203</f>
        <v>1.053552434625789</v>
      </c>
      <c r="Q203" s="200"/>
    </row>
    <row r="204" spans="1:17">
      <c r="A204" s="15"/>
      <c r="B204" s="33"/>
      <c r="C204" s="198" t="s">
        <v>65</v>
      </c>
      <c r="D204" s="204">
        <v>1.9000000000000001E-4</v>
      </c>
      <c r="E204" s="204" t="s">
        <v>27</v>
      </c>
      <c r="F204" s="34">
        <v>12</v>
      </c>
      <c r="G204" s="49" t="s">
        <v>25</v>
      </c>
      <c r="H204" s="330">
        <f>(0.5*H193)/3600</f>
        <v>2.3763888888888888E-3</v>
      </c>
      <c r="I204" s="331"/>
      <c r="J204" s="204"/>
      <c r="K204" s="204"/>
      <c r="L204" s="34"/>
      <c r="M204" s="204"/>
      <c r="N204" s="204"/>
      <c r="O204" s="204"/>
      <c r="P204" s="204" t="s">
        <v>24</v>
      </c>
      <c r="Q204" s="23">
        <f>K203*P203</f>
        <v>417.13406899382329</v>
      </c>
    </row>
    <row r="205" spans="1:17" ht="13.5" thickBot="1">
      <c r="A205" s="15"/>
      <c r="B205" s="33"/>
      <c r="C205" s="198" t="s">
        <v>64</v>
      </c>
      <c r="D205" s="66">
        <f>(0.8+2)*2</f>
        <v>5.6</v>
      </c>
      <c r="E205" s="204" t="s">
        <v>28</v>
      </c>
      <c r="F205" s="34">
        <v>0.7</v>
      </c>
      <c r="G205" s="35" t="s">
        <v>26</v>
      </c>
      <c r="H205" s="332">
        <f>((D204*D205)*F204*F205)</f>
        <v>8.9376000000000004E-3</v>
      </c>
      <c r="I205" s="333"/>
      <c r="J205" s="204"/>
      <c r="K205" s="204"/>
      <c r="L205" s="34"/>
      <c r="M205" s="204"/>
      <c r="N205" s="204"/>
      <c r="O205" s="204"/>
      <c r="P205" s="204" t="s">
        <v>29</v>
      </c>
      <c r="Q205" s="23">
        <f>1300*(H206*(N196-(N197)))</f>
        <v>290.47199999999998</v>
      </c>
    </row>
    <row r="206" spans="1:17" ht="13.5" thickBot="1">
      <c r="A206" s="25"/>
      <c r="B206" s="36"/>
      <c r="C206" s="26"/>
      <c r="D206" s="199"/>
      <c r="E206" s="199"/>
      <c r="F206" s="40"/>
      <c r="G206" s="41" t="s">
        <v>18</v>
      </c>
      <c r="H206" s="334">
        <f>MAX(H204,H205)</f>
        <v>8.9376000000000004E-3</v>
      </c>
      <c r="I206" s="335"/>
      <c r="J206" s="199"/>
      <c r="K206" s="199"/>
      <c r="L206" s="40"/>
      <c r="M206" s="199"/>
      <c r="N206" s="199"/>
      <c r="O206" s="199"/>
      <c r="P206" s="91" t="s">
        <v>66</v>
      </c>
      <c r="Q206" s="102">
        <f>SUM(Q204:Q205)</f>
        <v>707.60606899382333</v>
      </c>
    </row>
    <row r="207" spans="1:17" ht="13.5" thickBot="1">
      <c r="A207" s="79"/>
      <c r="B207" s="79"/>
      <c r="C207" s="79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7"/>
    </row>
    <row r="208" spans="1:17" ht="13.5" thickBot="1">
      <c r="A208" s="19"/>
      <c r="B208" s="339" t="s">
        <v>302</v>
      </c>
      <c r="C208" s="340"/>
      <c r="D208" s="340"/>
      <c r="E208" s="340"/>
      <c r="F208" s="341"/>
      <c r="G208" s="60" t="s">
        <v>19</v>
      </c>
      <c r="H208" s="342">
        <f>E220*D209</f>
        <v>67.946999999999989</v>
      </c>
      <c r="I208" s="342"/>
      <c r="J208" s="59" t="s">
        <v>20</v>
      </c>
      <c r="K208" s="59"/>
      <c r="L208" s="61"/>
      <c r="M208" s="59"/>
      <c r="N208" s="59"/>
      <c r="O208" s="59"/>
      <c r="P208" s="59"/>
      <c r="Q208" s="24"/>
    </row>
    <row r="209" spans="1:17">
      <c r="A209" s="16" t="s">
        <v>32</v>
      </c>
      <c r="B209" s="67">
        <v>30</v>
      </c>
      <c r="C209" s="77">
        <v>7.1</v>
      </c>
      <c r="D209" s="202">
        <f>$D$264</f>
        <v>2.9</v>
      </c>
      <c r="E209" s="84">
        <f t="shared" ref="E209:E210" si="107">C209*D209</f>
        <v>20.59</v>
      </c>
      <c r="F209" s="70">
        <v>1</v>
      </c>
      <c r="G209" s="67">
        <f>0.8*2</f>
        <v>1.6</v>
      </c>
      <c r="H209" s="84">
        <f>(E209-(F209*G209))</f>
        <v>18.989999999999998</v>
      </c>
      <c r="I209" s="77">
        <f>$H$266</f>
        <v>1.7210000000000001</v>
      </c>
      <c r="J209" s="77">
        <v>-10</v>
      </c>
      <c r="K209" s="84">
        <f t="shared" ref="K209:K220" si="108">J209*I209</f>
        <v>-17.21</v>
      </c>
      <c r="L209" s="85">
        <f t="shared" ref="L209:L220" si="109">H209*I209*J209</f>
        <v>-326.81790000000001</v>
      </c>
      <c r="M209" s="17" t="s">
        <v>22</v>
      </c>
      <c r="N209" s="321">
        <f>E221</f>
        <v>118.07999999999997</v>
      </c>
      <c r="O209" s="321"/>
      <c r="P209" s="321"/>
      <c r="Q209" s="316"/>
    </row>
    <row r="210" spans="1:17">
      <c r="A210" s="10" t="s">
        <v>31</v>
      </c>
      <c r="B210" s="68">
        <v>30</v>
      </c>
      <c r="C210" s="64">
        <v>3.3</v>
      </c>
      <c r="D210" s="202">
        <f>$D$264</f>
        <v>2.9</v>
      </c>
      <c r="E210" s="83">
        <f t="shared" si="107"/>
        <v>9.5699999999999985</v>
      </c>
      <c r="F210" s="71">
        <v>1</v>
      </c>
      <c r="G210" s="68">
        <f>0.8*2</f>
        <v>1.6</v>
      </c>
      <c r="H210" s="83">
        <f t="shared" ref="H210:H220" si="110">(E210-(F210*G210))</f>
        <v>7.9699999999999989</v>
      </c>
      <c r="I210" s="99">
        <f>$H$266</f>
        <v>1.7210000000000001</v>
      </c>
      <c r="J210" s="64">
        <v>5</v>
      </c>
      <c r="K210" s="83">
        <f t="shared" si="108"/>
        <v>8.6050000000000004</v>
      </c>
      <c r="L210" s="47">
        <f t="shared" si="109"/>
        <v>68.581850000000003</v>
      </c>
      <c r="M210" s="46" t="s">
        <v>23</v>
      </c>
      <c r="N210" s="318">
        <f>K222/(N209*(N211-N212))</f>
        <v>0.2706805894308944</v>
      </c>
      <c r="O210" s="318"/>
      <c r="P210" s="318"/>
      <c r="Q210" s="317"/>
    </row>
    <row r="211" spans="1:17">
      <c r="A211" s="10" t="s">
        <v>49</v>
      </c>
      <c r="B211" s="68">
        <v>45</v>
      </c>
      <c r="C211" s="64">
        <v>4.05</v>
      </c>
      <c r="D211" s="202">
        <f>$D$264</f>
        <v>2.9</v>
      </c>
      <c r="E211" s="83">
        <f>C211*D211</f>
        <v>11.744999999999999</v>
      </c>
      <c r="F211" s="71">
        <v>1</v>
      </c>
      <c r="G211" s="68">
        <f>1.5*1.5</f>
        <v>2.25</v>
      </c>
      <c r="H211" s="83">
        <f t="shared" si="110"/>
        <v>9.4949999999999992</v>
      </c>
      <c r="I211" s="192">
        <f>$H$265</f>
        <v>1.304</v>
      </c>
      <c r="J211" s="64">
        <v>25</v>
      </c>
      <c r="K211" s="83">
        <f t="shared" si="108"/>
        <v>32.6</v>
      </c>
      <c r="L211" s="47">
        <f t="shared" si="109"/>
        <v>309.53699999999998</v>
      </c>
      <c r="M211" s="46" t="s">
        <v>52</v>
      </c>
      <c r="N211" s="319">
        <v>10</v>
      </c>
      <c r="O211" s="319"/>
      <c r="P211" s="319"/>
      <c r="Q211" s="317"/>
    </row>
    <row r="212" spans="1:17">
      <c r="A212" s="10" t="s">
        <v>78</v>
      </c>
      <c r="B212" s="68">
        <v>10</v>
      </c>
      <c r="C212" s="64">
        <v>5.15</v>
      </c>
      <c r="D212" s="202">
        <f>$D$264</f>
        <v>2.9</v>
      </c>
      <c r="E212" s="83">
        <f>C212*D212</f>
        <v>14.935</v>
      </c>
      <c r="F212" s="71">
        <v>1</v>
      </c>
      <c r="G212" s="68">
        <f>0.8*2</f>
        <v>1.6</v>
      </c>
      <c r="H212" s="83">
        <f t="shared" si="110"/>
        <v>13.335000000000001</v>
      </c>
      <c r="I212" s="64">
        <f>$H$268</f>
        <v>2.87</v>
      </c>
      <c r="J212" s="64">
        <v>0</v>
      </c>
      <c r="K212" s="83">
        <f t="shared" si="108"/>
        <v>0</v>
      </c>
      <c r="L212" s="47">
        <f t="shared" si="109"/>
        <v>0</v>
      </c>
      <c r="M212" s="46" t="s">
        <v>53</v>
      </c>
      <c r="N212" s="319">
        <v>-15</v>
      </c>
      <c r="O212" s="319"/>
      <c r="P212" s="319"/>
      <c r="Q212" s="317"/>
    </row>
    <row r="213" spans="1:17">
      <c r="A213" s="10" t="s">
        <v>77</v>
      </c>
      <c r="B213" s="68">
        <v>15</v>
      </c>
      <c r="C213" s="64">
        <v>1.2</v>
      </c>
      <c r="D213" s="202">
        <f>$D$264</f>
        <v>2.9</v>
      </c>
      <c r="E213" s="191">
        <f>C213*D213</f>
        <v>3.48</v>
      </c>
      <c r="F213" s="71">
        <v>1</v>
      </c>
      <c r="G213" s="68">
        <f>0.8*2</f>
        <v>1.6</v>
      </c>
      <c r="H213" s="191">
        <f t="shared" ref="H213" si="111">(E213-(F213*G213))</f>
        <v>1.88</v>
      </c>
      <c r="I213" s="64">
        <f>$H$267</f>
        <v>2.46</v>
      </c>
      <c r="J213" s="64">
        <v>-5</v>
      </c>
      <c r="K213" s="191">
        <f t="shared" ref="K213" si="112">J213*I213</f>
        <v>-12.3</v>
      </c>
      <c r="L213" s="47">
        <f t="shared" ref="L213" si="113">H213*I213*J213</f>
        <v>-23.123999999999999</v>
      </c>
      <c r="M213" s="189"/>
      <c r="N213" s="96"/>
      <c r="O213" s="96"/>
      <c r="P213" s="97"/>
      <c r="Q213" s="317"/>
    </row>
    <row r="214" spans="1:17">
      <c r="A214" s="10" t="s">
        <v>70</v>
      </c>
      <c r="B214" s="68"/>
      <c r="C214" s="64">
        <v>0.8</v>
      </c>
      <c r="D214" s="64">
        <v>2</v>
      </c>
      <c r="E214" s="83">
        <f>C214*D214</f>
        <v>1.6</v>
      </c>
      <c r="F214" s="71"/>
      <c r="G214" s="68"/>
      <c r="H214" s="83">
        <f t="shared" si="110"/>
        <v>1.6</v>
      </c>
      <c r="I214" s="64">
        <f>$H$274</f>
        <v>2</v>
      </c>
      <c r="J214" s="64">
        <v>-10</v>
      </c>
      <c r="K214" s="83">
        <f t="shared" si="108"/>
        <v>-20</v>
      </c>
      <c r="L214" s="47">
        <f t="shared" si="109"/>
        <v>-32</v>
      </c>
      <c r="M214" s="79"/>
      <c r="N214" s="96"/>
      <c r="O214" s="96"/>
      <c r="P214" s="97"/>
      <c r="Q214" s="317"/>
    </row>
    <row r="215" spans="1:17">
      <c r="A215" s="10" t="s">
        <v>70</v>
      </c>
      <c r="B215" s="68"/>
      <c r="C215" s="64">
        <v>0.8</v>
      </c>
      <c r="D215" s="64">
        <v>2</v>
      </c>
      <c r="E215" s="83">
        <f>C215*D215</f>
        <v>1.6</v>
      </c>
      <c r="F215" s="71"/>
      <c r="G215" s="68"/>
      <c r="H215" s="83">
        <f t="shared" si="110"/>
        <v>1.6</v>
      </c>
      <c r="I215" s="64">
        <f>$H$274</f>
        <v>2</v>
      </c>
      <c r="J215" s="64">
        <v>5</v>
      </c>
      <c r="K215" s="83">
        <f t="shared" si="108"/>
        <v>10</v>
      </c>
      <c r="L215" s="47">
        <f t="shared" si="109"/>
        <v>16</v>
      </c>
      <c r="M215" s="79"/>
      <c r="N215" s="96"/>
      <c r="O215" s="96"/>
      <c r="P215" s="97"/>
      <c r="Q215" s="317"/>
    </row>
    <row r="216" spans="1:17">
      <c r="A216" s="10" t="s">
        <v>70</v>
      </c>
      <c r="B216" s="68"/>
      <c r="C216" s="64">
        <v>0.8</v>
      </c>
      <c r="D216" s="64">
        <v>2</v>
      </c>
      <c r="E216" s="83">
        <f t="shared" ref="E216" si="114">C216*D216</f>
        <v>1.6</v>
      </c>
      <c r="F216" s="71"/>
      <c r="G216" s="68"/>
      <c r="H216" s="83">
        <f t="shared" si="110"/>
        <v>1.6</v>
      </c>
      <c r="I216" s="64">
        <f>$H$274</f>
        <v>2</v>
      </c>
      <c r="J216" s="64">
        <v>0</v>
      </c>
      <c r="K216" s="83">
        <f t="shared" si="108"/>
        <v>0</v>
      </c>
      <c r="L216" s="47">
        <f t="shared" si="109"/>
        <v>0</v>
      </c>
      <c r="M216" s="79"/>
      <c r="N216" s="96"/>
      <c r="O216" s="96"/>
      <c r="P216" s="97"/>
      <c r="Q216" s="317"/>
    </row>
    <row r="217" spans="1:17">
      <c r="A217" s="10" t="s">
        <v>70</v>
      </c>
      <c r="B217" s="68"/>
      <c r="C217" s="64">
        <v>0.8</v>
      </c>
      <c r="D217" s="64">
        <v>2</v>
      </c>
      <c r="E217" s="201">
        <f t="shared" ref="E217" si="115">C217*D217</f>
        <v>1.6</v>
      </c>
      <c r="F217" s="71"/>
      <c r="G217" s="68"/>
      <c r="H217" s="201">
        <f t="shared" ref="H217" si="116">(E217-(F217*G217))</f>
        <v>1.6</v>
      </c>
      <c r="I217" s="64">
        <f>$H$274</f>
        <v>2</v>
      </c>
      <c r="J217" s="64">
        <v>-5</v>
      </c>
      <c r="K217" s="201">
        <f t="shared" ref="K217" si="117">J217*I217</f>
        <v>-10</v>
      </c>
      <c r="L217" s="47">
        <f t="shared" ref="L217" si="118">H217*I217*J217</f>
        <v>-16</v>
      </c>
      <c r="M217" s="198"/>
      <c r="N217" s="96"/>
      <c r="O217" s="96"/>
      <c r="P217" s="97"/>
      <c r="Q217" s="317"/>
    </row>
    <row r="218" spans="1:17">
      <c r="A218" s="10" t="s">
        <v>80</v>
      </c>
      <c r="B218" s="68"/>
      <c r="C218" s="64">
        <v>1.5</v>
      </c>
      <c r="D218" s="64">
        <v>1.5</v>
      </c>
      <c r="E218" s="83">
        <f>C218*D218*2</f>
        <v>4.5</v>
      </c>
      <c r="F218" s="71"/>
      <c r="G218" s="68"/>
      <c r="H218" s="83">
        <f t="shared" ref="H218" si="119">(E218-(F218*G218))</f>
        <v>4.5</v>
      </c>
      <c r="I218" s="64">
        <f>$H$272</f>
        <v>1.2</v>
      </c>
      <c r="J218" s="64">
        <v>25</v>
      </c>
      <c r="K218" s="83">
        <f t="shared" ref="K218" si="120">J218*I218</f>
        <v>30</v>
      </c>
      <c r="L218" s="47">
        <f t="shared" ref="L218" si="121">H218*I218*J218</f>
        <v>135</v>
      </c>
      <c r="M218" s="79"/>
      <c r="N218" s="96"/>
      <c r="O218" s="96"/>
      <c r="P218" s="97"/>
      <c r="Q218" s="317"/>
    </row>
    <row r="219" spans="1:17">
      <c r="A219" s="86" t="s">
        <v>62</v>
      </c>
      <c r="B219" s="87">
        <v>58</v>
      </c>
      <c r="C219" s="88">
        <v>3.3</v>
      </c>
      <c r="D219" s="88">
        <v>7.1</v>
      </c>
      <c r="E219" s="83">
        <f>D219*C219</f>
        <v>23.429999999999996</v>
      </c>
      <c r="F219" s="89"/>
      <c r="G219" s="87"/>
      <c r="H219" s="83">
        <f t="shared" si="110"/>
        <v>23.429999999999996</v>
      </c>
      <c r="I219" s="64">
        <f>$H$270</f>
        <v>0.88300000000000001</v>
      </c>
      <c r="J219" s="64">
        <v>25</v>
      </c>
      <c r="K219" s="83">
        <f t="shared" si="108"/>
        <v>22.074999999999999</v>
      </c>
      <c r="L219" s="47">
        <f t="shared" si="109"/>
        <v>517.21724999999992</v>
      </c>
      <c r="M219" s="52"/>
      <c r="N219" s="53"/>
      <c r="O219" s="53"/>
      <c r="P219" s="54"/>
      <c r="Q219" s="317"/>
    </row>
    <row r="220" spans="1:17">
      <c r="A220" s="86" t="s">
        <v>63</v>
      </c>
      <c r="B220" s="87"/>
      <c r="C220" s="88">
        <v>3.3</v>
      </c>
      <c r="D220" s="88">
        <v>7.1</v>
      </c>
      <c r="E220" s="83">
        <f>E219</f>
        <v>23.429999999999996</v>
      </c>
      <c r="F220" s="89"/>
      <c r="G220" s="87"/>
      <c r="H220" s="83">
        <f t="shared" si="110"/>
        <v>23.429999999999996</v>
      </c>
      <c r="I220" s="64">
        <f>$H$271</f>
        <v>1.286</v>
      </c>
      <c r="J220" s="64">
        <v>5</v>
      </c>
      <c r="K220" s="83">
        <f t="shared" si="108"/>
        <v>6.43</v>
      </c>
      <c r="L220" s="47">
        <f t="shared" si="109"/>
        <v>150.6549</v>
      </c>
      <c r="M220" s="52"/>
      <c r="N220" s="53"/>
      <c r="O220" s="53"/>
      <c r="P220" s="54"/>
      <c r="Q220" s="317"/>
    </row>
    <row r="221" spans="1:17" ht="13.5" thickBot="1">
      <c r="A221" s="42"/>
      <c r="B221" s="93"/>
      <c r="C221" s="94"/>
      <c r="D221" s="94"/>
      <c r="E221" s="90">
        <f>SUM(E209:E220)</f>
        <v>118.07999999999997</v>
      </c>
      <c r="F221" s="95"/>
      <c r="G221" s="93"/>
      <c r="H221" s="94"/>
      <c r="I221" s="94"/>
      <c r="J221" s="94"/>
      <c r="K221" s="94"/>
      <c r="L221" s="44"/>
      <c r="M221" s="50"/>
      <c r="N221" s="80"/>
      <c r="O221" s="80"/>
      <c r="P221" s="51"/>
      <c r="Q221" s="317"/>
    </row>
    <row r="222" spans="1:17" ht="14.25" thickTop="1" thickBot="1">
      <c r="A222" s="25"/>
      <c r="B222" s="320" t="s">
        <v>17</v>
      </c>
      <c r="C222" s="321"/>
      <c r="D222" s="321"/>
      <c r="E222" s="321"/>
      <c r="F222" s="322"/>
      <c r="G222" s="72"/>
      <c r="H222" s="73"/>
      <c r="I222" s="74"/>
      <c r="J222" s="84" t="s">
        <v>21</v>
      </c>
      <c r="K222" s="321">
        <f>SUM(L209:L221)</f>
        <v>799.04909999999995</v>
      </c>
      <c r="L222" s="322"/>
      <c r="M222" s="46">
        <f>0.15*N210</f>
        <v>4.0602088414634162E-2</v>
      </c>
      <c r="N222" s="83">
        <v>0</v>
      </c>
      <c r="O222" s="45">
        <v>0</v>
      </c>
      <c r="P222" s="83">
        <f>1+O222+N222+M222</f>
        <v>1.0406020884146341</v>
      </c>
      <c r="Q222" s="82"/>
    </row>
    <row r="223" spans="1:17">
      <c r="A223" s="15"/>
      <c r="B223" s="33"/>
      <c r="C223" s="79" t="s">
        <v>65</v>
      </c>
      <c r="D223" s="22">
        <v>1.9000000000000001E-4</v>
      </c>
      <c r="E223" s="22" t="s">
        <v>27</v>
      </c>
      <c r="F223" s="34">
        <v>12</v>
      </c>
      <c r="G223" s="49" t="s">
        <v>25</v>
      </c>
      <c r="H223" s="330">
        <f>(0.5*H208)/3600</f>
        <v>9.437083333333332E-3</v>
      </c>
      <c r="I223" s="331"/>
      <c r="J223" s="22"/>
      <c r="K223" s="22"/>
      <c r="L223" s="34"/>
      <c r="M223" s="22"/>
      <c r="N223" s="22"/>
      <c r="O223" s="22"/>
      <c r="P223" s="22" t="s">
        <v>24</v>
      </c>
      <c r="Q223" s="23">
        <f>K222*P222</f>
        <v>831.49216220583378</v>
      </c>
    </row>
    <row r="224" spans="1:17" ht="13.5" thickBot="1">
      <c r="A224" s="15"/>
      <c r="B224" s="33"/>
      <c r="C224" s="79" t="s">
        <v>64</v>
      </c>
      <c r="D224" s="66">
        <f>(1.5+1.2)*2*2</f>
        <v>10.8</v>
      </c>
      <c r="E224" s="22" t="s">
        <v>28</v>
      </c>
      <c r="F224" s="34">
        <v>0.7</v>
      </c>
      <c r="G224" s="35" t="s">
        <v>26</v>
      </c>
      <c r="H224" s="332">
        <f>((D223*D224)*F223*F224)</f>
        <v>1.7236800000000004E-2</v>
      </c>
      <c r="I224" s="333"/>
      <c r="J224" s="22"/>
      <c r="K224" s="22"/>
      <c r="L224" s="34"/>
      <c r="M224" s="22"/>
      <c r="N224" s="22"/>
      <c r="O224" s="22"/>
      <c r="P224" s="22" t="s">
        <v>29</v>
      </c>
      <c r="Q224" s="23">
        <f>1300*(H225*(N211-(N212)))</f>
        <v>560.19600000000014</v>
      </c>
    </row>
    <row r="225" spans="1:22" ht="13.5" thickBot="1">
      <c r="A225" s="25"/>
      <c r="B225" s="36"/>
      <c r="C225" s="26"/>
      <c r="D225" s="78"/>
      <c r="E225" s="78"/>
      <c r="F225" s="40"/>
      <c r="G225" s="41" t="s">
        <v>18</v>
      </c>
      <c r="H225" s="334">
        <f>MAX(H223,H224)</f>
        <v>1.7236800000000004E-2</v>
      </c>
      <c r="I225" s="335"/>
      <c r="J225" s="78"/>
      <c r="K225" s="78"/>
      <c r="L225" s="40"/>
      <c r="M225" s="78"/>
      <c r="N225" s="78"/>
      <c r="O225" s="78"/>
      <c r="P225" s="91" t="s">
        <v>66</v>
      </c>
      <c r="Q225" s="102">
        <f>SUM(Q223:Q224)</f>
        <v>1391.688162205834</v>
      </c>
    </row>
    <row r="226" spans="1:22">
      <c r="A226" s="98"/>
      <c r="B226" s="98"/>
      <c r="C226" s="98"/>
      <c r="D226" s="101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24"/>
      <c r="Q226" s="125"/>
    </row>
    <row r="227" spans="1:22">
      <c r="A227" s="98"/>
      <c r="B227" s="98"/>
      <c r="C227" s="98"/>
      <c r="D227" s="101"/>
      <c r="E227" s="101"/>
      <c r="F227" s="101"/>
      <c r="G227" s="101"/>
      <c r="H227" s="101"/>
      <c r="I227" s="101"/>
      <c r="J227" s="101"/>
      <c r="K227" s="101"/>
      <c r="L227" s="101"/>
      <c r="M227" s="101"/>
      <c r="N227" s="101"/>
      <c r="O227" s="101"/>
      <c r="P227" s="124"/>
      <c r="Q227" s="125"/>
    </row>
    <row r="228" spans="1:22">
      <c r="A228" s="79"/>
      <c r="B228" s="79"/>
      <c r="C228" s="79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7"/>
    </row>
    <row r="229" spans="1:22">
      <c r="A229" s="360" t="s">
        <v>85</v>
      </c>
      <c r="B229" s="327" t="s">
        <v>86</v>
      </c>
      <c r="C229" s="328"/>
      <c r="D229" s="328"/>
      <c r="E229" s="328"/>
      <c r="F229" s="328"/>
      <c r="G229" s="325" t="s">
        <v>91</v>
      </c>
      <c r="H229" s="324" t="s">
        <v>87</v>
      </c>
      <c r="I229" s="324"/>
      <c r="J229" s="336" t="s">
        <v>88</v>
      </c>
      <c r="K229" s="337"/>
      <c r="L229" s="337"/>
      <c r="M229" s="337"/>
      <c r="N229" s="337"/>
      <c r="O229" s="337"/>
      <c r="P229" s="337"/>
      <c r="Q229" s="338"/>
    </row>
    <row r="230" spans="1:22" ht="36.75" customHeight="1">
      <c r="A230" s="361"/>
      <c r="B230" s="329"/>
      <c r="C230" s="329"/>
      <c r="D230" s="329"/>
      <c r="E230" s="329"/>
      <c r="F230" s="329"/>
      <c r="G230" s="326"/>
      <c r="H230" s="277"/>
      <c r="I230" s="277"/>
      <c r="J230" s="323" t="s">
        <v>90</v>
      </c>
      <c r="K230" s="323"/>
      <c r="L230" s="323"/>
      <c r="M230" s="323"/>
      <c r="N230" s="323"/>
      <c r="O230" s="323" t="s">
        <v>89</v>
      </c>
      <c r="P230" s="323"/>
      <c r="Q230" s="130" t="s">
        <v>147</v>
      </c>
      <c r="S230" s="136" t="s">
        <v>153</v>
      </c>
      <c r="T230" s="137" t="s">
        <v>155</v>
      </c>
      <c r="U230" s="137" t="s">
        <v>156</v>
      </c>
      <c r="V230" s="137" t="s">
        <v>154</v>
      </c>
    </row>
    <row r="231" spans="1:22">
      <c r="A231" s="193" t="s">
        <v>83</v>
      </c>
      <c r="B231" s="350" t="s">
        <v>84</v>
      </c>
      <c r="C231" s="350"/>
      <c r="D231" s="350"/>
      <c r="E231" s="350"/>
      <c r="F231" s="350"/>
      <c r="G231" s="190">
        <v>5</v>
      </c>
      <c r="H231" s="351">
        <f>Q24</f>
        <v>4849.0467384166222</v>
      </c>
      <c r="I231" s="351"/>
      <c r="J231" s="353" t="s">
        <v>148</v>
      </c>
      <c r="K231" s="353"/>
      <c r="L231" s="353"/>
      <c r="M231" s="353"/>
      <c r="N231" s="353"/>
      <c r="O231" s="352">
        <v>2</v>
      </c>
      <c r="P231" s="352"/>
      <c r="Q231" s="132">
        <f>O231*2641</f>
        <v>5282</v>
      </c>
      <c r="S231" s="136">
        <v>5783</v>
      </c>
      <c r="T231" s="142">
        <f>S231-(15*S231)/100</f>
        <v>4915.55</v>
      </c>
      <c r="U231" s="138">
        <f>T231*O231</f>
        <v>9831.1</v>
      </c>
      <c r="V231" s="138">
        <f t="shared" ref="V231:V243" si="122">U231*1.2</f>
        <v>11797.32</v>
      </c>
    </row>
    <row r="232" spans="1:22">
      <c r="A232" s="126" t="s">
        <v>92</v>
      </c>
      <c r="B232" s="241" t="s">
        <v>93</v>
      </c>
      <c r="C232" s="242"/>
      <c r="D232" s="242"/>
      <c r="E232" s="242"/>
      <c r="F232" s="242"/>
      <c r="G232" s="127">
        <v>5</v>
      </c>
      <c r="H232" s="251">
        <f>Q44</f>
        <v>12255.908909763661</v>
      </c>
      <c r="I232" s="251"/>
      <c r="J232" s="239" t="s">
        <v>150</v>
      </c>
      <c r="K232" s="239"/>
      <c r="L232" s="239"/>
      <c r="M232" s="239"/>
      <c r="N232" s="239"/>
      <c r="O232" s="240">
        <v>7</v>
      </c>
      <c r="P232" s="240"/>
      <c r="Q232" s="133">
        <f>O232*1850</f>
        <v>12950</v>
      </c>
      <c r="S232" s="136">
        <v>5076</v>
      </c>
      <c r="T232" s="142">
        <f t="shared" ref="T232:T243" si="123">S232-(15*S232)/100</f>
        <v>4314.6000000000004</v>
      </c>
      <c r="U232" s="138">
        <f t="shared" ref="U232:U243" si="124">T232*O232</f>
        <v>30202.200000000004</v>
      </c>
      <c r="V232" s="138">
        <f t="shared" si="122"/>
        <v>36242.640000000007</v>
      </c>
    </row>
    <row r="233" spans="1:22">
      <c r="A233" s="126" t="s">
        <v>295</v>
      </c>
      <c r="B233" s="241" t="s">
        <v>105</v>
      </c>
      <c r="C233" s="242"/>
      <c r="D233" s="242"/>
      <c r="E233" s="242"/>
      <c r="F233" s="242"/>
      <c r="G233" s="127">
        <v>20</v>
      </c>
      <c r="H233" s="251">
        <f>Q63</f>
        <v>1604.1677304105879</v>
      </c>
      <c r="I233" s="251"/>
      <c r="J233" s="239" t="s">
        <v>308</v>
      </c>
      <c r="K233" s="239"/>
      <c r="L233" s="239"/>
      <c r="M233" s="239"/>
      <c r="N233" s="239"/>
      <c r="O233" s="240">
        <v>1</v>
      </c>
      <c r="P233" s="240"/>
      <c r="Q233" s="133">
        <v>1847</v>
      </c>
      <c r="S233" s="136">
        <v>4493</v>
      </c>
      <c r="T233" s="142">
        <f t="shared" si="123"/>
        <v>3819.05</v>
      </c>
      <c r="U233" s="138">
        <f t="shared" si="124"/>
        <v>3819.05</v>
      </c>
      <c r="V233" s="138">
        <f t="shared" si="122"/>
        <v>4582.8599999999997</v>
      </c>
    </row>
    <row r="234" spans="1:22">
      <c r="A234" s="195" t="s">
        <v>296</v>
      </c>
      <c r="B234" s="315" t="s">
        <v>298</v>
      </c>
      <c r="C234" s="315"/>
      <c r="D234" s="315"/>
      <c r="E234" s="315"/>
      <c r="F234" s="315"/>
      <c r="G234" s="194">
        <v>20</v>
      </c>
      <c r="H234" s="251">
        <f>Q77</f>
        <v>431.66198240183473</v>
      </c>
      <c r="I234" s="251"/>
      <c r="J234" s="239" t="s">
        <v>151</v>
      </c>
      <c r="K234" s="239"/>
      <c r="L234" s="239"/>
      <c r="M234" s="239"/>
      <c r="N234" s="239"/>
      <c r="O234" s="240">
        <v>1</v>
      </c>
      <c r="P234" s="240"/>
      <c r="Q234" s="133">
        <v>781</v>
      </c>
      <c r="S234" s="136">
        <v>1982</v>
      </c>
      <c r="T234" s="142">
        <f t="shared" si="123"/>
        <v>1684.7</v>
      </c>
      <c r="U234" s="138">
        <f t="shared" si="124"/>
        <v>1684.7</v>
      </c>
      <c r="V234" s="138">
        <f t="shared" si="122"/>
        <v>2021.6399999999999</v>
      </c>
    </row>
    <row r="235" spans="1:22">
      <c r="A235" s="126" t="s">
        <v>94</v>
      </c>
      <c r="B235" s="241" t="s">
        <v>286</v>
      </c>
      <c r="C235" s="242"/>
      <c r="D235" s="242"/>
      <c r="E235" s="242"/>
      <c r="F235" s="242"/>
      <c r="G235" s="127">
        <v>24</v>
      </c>
      <c r="H235" s="251">
        <f>Q92</f>
        <v>753.91628178784742</v>
      </c>
      <c r="I235" s="251"/>
      <c r="J235" s="239" t="s">
        <v>309</v>
      </c>
      <c r="K235" s="239"/>
      <c r="L235" s="239"/>
      <c r="M235" s="239"/>
      <c r="N235" s="239"/>
      <c r="O235" s="240">
        <v>1</v>
      </c>
      <c r="P235" s="240"/>
      <c r="Q235" s="206">
        <v>976</v>
      </c>
      <c r="S235" s="136">
        <v>2667</v>
      </c>
      <c r="T235" s="142">
        <f t="shared" si="123"/>
        <v>2266.9499999999998</v>
      </c>
      <c r="U235" s="138">
        <f t="shared" si="124"/>
        <v>2266.9499999999998</v>
      </c>
      <c r="V235" s="138">
        <f t="shared" si="122"/>
        <v>2720.3399999999997</v>
      </c>
    </row>
    <row r="236" spans="1:22">
      <c r="A236" s="126" t="s">
        <v>95</v>
      </c>
      <c r="B236" s="241" t="s">
        <v>299</v>
      </c>
      <c r="C236" s="242"/>
      <c r="D236" s="242"/>
      <c r="E236" s="242"/>
      <c r="F236" s="242"/>
      <c r="G236" s="127">
        <v>15</v>
      </c>
      <c r="H236" s="251">
        <f>Q110</f>
        <v>-98.894413051493387</v>
      </c>
      <c r="I236" s="251"/>
      <c r="J236" s="239"/>
      <c r="K236" s="239"/>
      <c r="L236" s="239"/>
      <c r="M236" s="239"/>
      <c r="N236" s="239"/>
      <c r="O236" s="240"/>
      <c r="P236" s="240"/>
      <c r="Q236" s="133"/>
      <c r="S236" s="136"/>
      <c r="T236" s="142"/>
      <c r="U236" s="138"/>
      <c r="V236" s="138"/>
    </row>
    <row r="237" spans="1:22">
      <c r="A237" s="126" t="s">
        <v>96</v>
      </c>
      <c r="B237" s="241" t="s">
        <v>102</v>
      </c>
      <c r="C237" s="242"/>
      <c r="D237" s="242"/>
      <c r="E237" s="242"/>
      <c r="F237" s="242"/>
      <c r="G237" s="127">
        <v>20</v>
      </c>
      <c r="H237" s="251">
        <f>Q125</f>
        <v>913.25478312796145</v>
      </c>
      <c r="I237" s="251"/>
      <c r="J237" s="239" t="s">
        <v>149</v>
      </c>
      <c r="K237" s="239"/>
      <c r="L237" s="239"/>
      <c r="M237" s="239"/>
      <c r="N237" s="239"/>
      <c r="O237" s="240">
        <v>1</v>
      </c>
      <c r="P237" s="240"/>
      <c r="Q237" s="133">
        <v>1016</v>
      </c>
      <c r="S237" s="136">
        <v>3537</v>
      </c>
      <c r="T237" s="142">
        <f t="shared" si="123"/>
        <v>3006.45</v>
      </c>
      <c r="U237" s="138">
        <f t="shared" si="124"/>
        <v>3006.45</v>
      </c>
      <c r="V237" s="138">
        <f t="shared" si="122"/>
        <v>3607.74</v>
      </c>
    </row>
    <row r="238" spans="1:22">
      <c r="A238" s="126" t="s">
        <v>97</v>
      </c>
      <c r="B238" s="241" t="s">
        <v>285</v>
      </c>
      <c r="C238" s="242"/>
      <c r="D238" s="242"/>
      <c r="E238" s="242"/>
      <c r="F238" s="242"/>
      <c r="G238" s="127">
        <v>20</v>
      </c>
      <c r="H238" s="251">
        <f>Q142</f>
        <v>2712.0032434096684</v>
      </c>
      <c r="I238" s="251"/>
      <c r="J238" s="239" t="s">
        <v>310</v>
      </c>
      <c r="K238" s="239"/>
      <c r="L238" s="239"/>
      <c r="M238" s="239"/>
      <c r="N238" s="239"/>
      <c r="O238" s="240">
        <v>2</v>
      </c>
      <c r="P238" s="240"/>
      <c r="Q238" s="133">
        <f>O238*1597</f>
        <v>3194</v>
      </c>
      <c r="S238" s="136">
        <v>4352</v>
      </c>
      <c r="T238" s="142">
        <f t="shared" si="123"/>
        <v>3699.2</v>
      </c>
      <c r="U238" s="138">
        <f t="shared" si="124"/>
        <v>7398.4</v>
      </c>
      <c r="V238" s="138">
        <f t="shared" si="122"/>
        <v>8878.08</v>
      </c>
    </row>
    <row r="239" spans="1:22">
      <c r="A239" s="126" t="s">
        <v>98</v>
      </c>
      <c r="B239" s="241" t="s">
        <v>103</v>
      </c>
      <c r="C239" s="242"/>
      <c r="D239" s="242"/>
      <c r="E239" s="242"/>
      <c r="F239" s="242"/>
      <c r="G239" s="127">
        <v>20</v>
      </c>
      <c r="H239" s="251">
        <f>Q159</f>
        <v>2731.622495087548</v>
      </c>
      <c r="I239" s="251"/>
      <c r="J239" s="239" t="s">
        <v>287</v>
      </c>
      <c r="K239" s="239"/>
      <c r="L239" s="239"/>
      <c r="M239" s="239"/>
      <c r="N239" s="239"/>
      <c r="O239" s="240">
        <v>2</v>
      </c>
      <c r="P239" s="240"/>
      <c r="Q239" s="133">
        <f>O239*1742</f>
        <v>3484</v>
      </c>
      <c r="S239" s="136">
        <v>4556</v>
      </c>
      <c r="T239" s="142">
        <f t="shared" si="123"/>
        <v>3872.6</v>
      </c>
      <c r="U239" s="138">
        <f t="shared" si="124"/>
        <v>7745.2</v>
      </c>
      <c r="V239" s="138">
        <f t="shared" si="122"/>
        <v>9294.24</v>
      </c>
    </row>
    <row r="240" spans="1:22">
      <c r="A240" s="126" t="s">
        <v>99</v>
      </c>
      <c r="B240" s="241" t="s">
        <v>104</v>
      </c>
      <c r="C240" s="242"/>
      <c r="D240" s="242"/>
      <c r="E240" s="242"/>
      <c r="F240" s="242"/>
      <c r="G240" s="127">
        <v>20</v>
      </c>
      <c r="H240" s="251">
        <f>Q174</f>
        <v>1073.6097039261031</v>
      </c>
      <c r="I240" s="251"/>
      <c r="J240" s="239" t="s">
        <v>152</v>
      </c>
      <c r="K240" s="239"/>
      <c r="L240" s="239"/>
      <c r="M240" s="239"/>
      <c r="N240" s="239"/>
      <c r="O240" s="240">
        <v>1</v>
      </c>
      <c r="P240" s="240"/>
      <c r="Q240" s="133">
        <f>O240*1307</f>
        <v>1307</v>
      </c>
      <c r="S240" s="136">
        <v>3945</v>
      </c>
      <c r="T240" s="142">
        <f t="shared" si="123"/>
        <v>3353.25</v>
      </c>
      <c r="U240" s="138">
        <f t="shared" si="124"/>
        <v>3353.25</v>
      </c>
      <c r="V240" s="138">
        <f t="shared" si="122"/>
        <v>4023.8999999999996</v>
      </c>
    </row>
    <row r="241" spans="1:22">
      <c r="A241" s="195" t="s">
        <v>100</v>
      </c>
      <c r="B241" s="315" t="s">
        <v>299</v>
      </c>
      <c r="C241" s="315"/>
      <c r="D241" s="315"/>
      <c r="E241" s="315"/>
      <c r="F241" s="315"/>
      <c r="G241" s="194">
        <v>15</v>
      </c>
      <c r="H241" s="251">
        <f>Q191</f>
        <v>740.47050968401481</v>
      </c>
      <c r="I241" s="251"/>
      <c r="J241" s="239" t="s">
        <v>311</v>
      </c>
      <c r="K241" s="239"/>
      <c r="L241" s="239"/>
      <c r="M241" s="239"/>
      <c r="N241" s="239"/>
      <c r="O241" s="240">
        <v>1</v>
      </c>
      <c r="P241" s="240"/>
      <c r="Q241" s="133">
        <v>772</v>
      </c>
      <c r="S241" s="136">
        <v>2681</v>
      </c>
      <c r="T241" s="142">
        <f t="shared" si="123"/>
        <v>2278.85</v>
      </c>
      <c r="U241" s="138">
        <f t="shared" si="124"/>
        <v>2278.85</v>
      </c>
      <c r="V241" s="138">
        <f t="shared" si="122"/>
        <v>2734.62</v>
      </c>
    </row>
    <row r="242" spans="1:22">
      <c r="A242" s="126" t="s">
        <v>101</v>
      </c>
      <c r="B242" s="241" t="s">
        <v>300</v>
      </c>
      <c r="C242" s="242"/>
      <c r="D242" s="242"/>
      <c r="E242" s="242"/>
      <c r="F242" s="242"/>
      <c r="G242" s="127">
        <v>10</v>
      </c>
      <c r="H242" s="251">
        <f>Q206</f>
        <v>707.60606899382333</v>
      </c>
      <c r="I242" s="251"/>
      <c r="J242" s="239" t="s">
        <v>312</v>
      </c>
      <c r="K242" s="239"/>
      <c r="L242" s="239"/>
      <c r="M242" s="239"/>
      <c r="N242" s="239"/>
      <c r="O242" s="240">
        <v>1</v>
      </c>
      <c r="P242" s="240"/>
      <c r="Q242" s="133">
        <v>944</v>
      </c>
      <c r="S242" s="136">
        <v>2936</v>
      </c>
      <c r="T242" s="142">
        <f t="shared" si="123"/>
        <v>2495.6</v>
      </c>
      <c r="U242" s="138">
        <f t="shared" si="124"/>
        <v>2495.6</v>
      </c>
      <c r="V242" s="138">
        <f t="shared" si="122"/>
        <v>2994.72</v>
      </c>
    </row>
    <row r="243" spans="1:22">
      <c r="A243" s="126" t="s">
        <v>297</v>
      </c>
      <c r="B243" s="241" t="s">
        <v>301</v>
      </c>
      <c r="C243" s="242"/>
      <c r="D243" s="242"/>
      <c r="E243" s="242"/>
      <c r="F243" s="242"/>
      <c r="G243" s="127">
        <v>10</v>
      </c>
      <c r="H243" s="251">
        <f>Q225</f>
        <v>1391.688162205834</v>
      </c>
      <c r="I243" s="251"/>
      <c r="J243" s="239" t="s">
        <v>287</v>
      </c>
      <c r="K243" s="239"/>
      <c r="L243" s="239"/>
      <c r="M243" s="239"/>
      <c r="N243" s="239"/>
      <c r="O243" s="240">
        <v>1</v>
      </c>
      <c r="P243" s="240"/>
      <c r="Q243" s="133">
        <v>1742</v>
      </c>
      <c r="S243" s="136">
        <v>4556</v>
      </c>
      <c r="T243" s="142">
        <f t="shared" si="123"/>
        <v>3872.6</v>
      </c>
      <c r="U243" s="138">
        <f t="shared" si="124"/>
        <v>3872.6</v>
      </c>
      <c r="V243" s="138">
        <f t="shared" si="122"/>
        <v>4647.12</v>
      </c>
    </row>
    <row r="244" spans="1:22">
      <c r="A244" s="128"/>
      <c r="B244" s="354"/>
      <c r="C244" s="355"/>
      <c r="D244" s="355"/>
      <c r="E244" s="355"/>
      <c r="F244" s="355"/>
      <c r="G244" s="129"/>
      <c r="H244" s="356"/>
      <c r="I244" s="356"/>
      <c r="J244" s="323"/>
      <c r="K244" s="323"/>
      <c r="L244" s="323"/>
      <c r="M244" s="323"/>
      <c r="N244" s="323"/>
      <c r="O244" s="357"/>
      <c r="P244" s="357"/>
      <c r="Q244" s="134"/>
      <c r="S244" s="136"/>
      <c r="T244" s="142"/>
      <c r="U244" s="138"/>
      <c r="V244" s="138"/>
    </row>
    <row r="245" spans="1:22">
      <c r="A245" s="100"/>
      <c r="B245" s="243"/>
      <c r="C245" s="244"/>
      <c r="D245" s="244"/>
      <c r="E245" s="244"/>
      <c r="F245" s="244"/>
      <c r="G245" s="22">
        <f>AVERAGE(G231:G244)</f>
        <v>15.692307692307692</v>
      </c>
      <c r="H245" s="245">
        <f>SUM(H231:I244)</f>
        <v>30066.062196164014</v>
      </c>
      <c r="I245" s="246"/>
      <c r="J245" s="247"/>
      <c r="K245" s="247"/>
      <c r="L245" s="247"/>
      <c r="M245" s="247"/>
      <c r="N245" s="247"/>
      <c r="O245" s="248">
        <f>SUM(O231:P244)</f>
        <v>21</v>
      </c>
      <c r="P245" s="248"/>
      <c r="Q245" s="131">
        <f>SUM(Q231:Q244)</f>
        <v>34295</v>
      </c>
      <c r="U245" s="141">
        <f>SUM(U231:U244)</f>
        <v>77954.35000000002</v>
      </c>
      <c r="V245" s="141">
        <f>SUM(V231:V244)</f>
        <v>93545.219999999987</v>
      </c>
    </row>
    <row r="246" spans="1:22">
      <c r="A246" s="100"/>
      <c r="B246" s="249" t="s">
        <v>304</v>
      </c>
      <c r="C246" s="250"/>
      <c r="D246" s="250"/>
      <c r="E246" s="250"/>
      <c r="F246" s="250"/>
      <c r="G246" s="204"/>
      <c r="H246" s="245">
        <f>H231+H232</f>
        <v>17104.955648180283</v>
      </c>
      <c r="I246" s="246"/>
      <c r="J246" s="203"/>
      <c r="K246" s="203"/>
      <c r="L246" s="203"/>
      <c r="M246" s="203"/>
      <c r="N246" s="203"/>
      <c r="O246" s="204"/>
      <c r="P246" s="204"/>
      <c r="Q246" s="209"/>
      <c r="U246" s="141"/>
      <c r="V246" s="141"/>
    </row>
    <row r="247" spans="1:22">
      <c r="A247" s="100"/>
      <c r="B247" s="249" t="s">
        <v>305</v>
      </c>
      <c r="C247" s="250"/>
      <c r="D247" s="250"/>
      <c r="E247" s="250"/>
      <c r="F247" s="250"/>
      <c r="G247" s="22"/>
      <c r="H247" s="245">
        <f>H233+H234+H235+H236+H237+H238+H239+H240+H241+H242+H243</f>
        <v>12961.106547983729</v>
      </c>
      <c r="I247" s="246"/>
      <c r="J247" s="247"/>
      <c r="K247" s="247"/>
      <c r="L247" s="247"/>
      <c r="M247" s="247"/>
      <c r="N247" s="247"/>
      <c r="O247" s="248"/>
      <c r="P247" s="248"/>
      <c r="Q247" s="27"/>
    </row>
    <row r="248" spans="1:22">
      <c r="A248" s="100"/>
      <c r="B248" s="116"/>
      <c r="C248" s="113"/>
      <c r="D248" s="113"/>
      <c r="E248" s="113"/>
      <c r="F248" s="113"/>
      <c r="G248" s="119"/>
      <c r="H248" s="117"/>
      <c r="I248" s="117"/>
      <c r="J248" s="118"/>
      <c r="K248" s="118"/>
      <c r="L248" s="118"/>
      <c r="M248" s="118"/>
      <c r="N248" s="118"/>
      <c r="O248" s="119"/>
      <c r="P248" s="119"/>
      <c r="Q248" s="27"/>
    </row>
    <row r="249" spans="1:22">
      <c r="A249" s="100"/>
      <c r="B249" s="115" t="s">
        <v>124</v>
      </c>
      <c r="C249" s="270" t="s">
        <v>125</v>
      </c>
      <c r="D249" s="270"/>
      <c r="E249" s="270"/>
      <c r="F249" s="115"/>
      <c r="G249" s="115" t="s">
        <v>124</v>
      </c>
      <c r="H249" s="270" t="s">
        <v>125</v>
      </c>
      <c r="I249" s="270"/>
      <c r="J249" s="270"/>
      <c r="K249" s="115"/>
      <c r="L249" s="108" t="s">
        <v>124</v>
      </c>
      <c r="M249" s="270" t="s">
        <v>125</v>
      </c>
      <c r="N249" s="270"/>
      <c r="O249" s="270"/>
      <c r="P249" s="119"/>
      <c r="Q249" s="27"/>
    </row>
    <row r="250" spans="1:22">
      <c r="A250" s="100"/>
      <c r="B250" s="103" t="s">
        <v>36</v>
      </c>
      <c r="C250" s="238" t="s">
        <v>37</v>
      </c>
      <c r="D250" s="238"/>
      <c r="E250" s="238"/>
      <c r="F250" s="112"/>
      <c r="G250" s="103" t="s">
        <v>74</v>
      </c>
      <c r="H250" s="238" t="s">
        <v>115</v>
      </c>
      <c r="I250" s="238"/>
      <c r="J250" s="238"/>
      <c r="K250" s="104"/>
      <c r="L250" s="121" t="s">
        <v>75</v>
      </c>
      <c r="M250" s="238" t="s">
        <v>121</v>
      </c>
      <c r="N250" s="238"/>
      <c r="O250" s="238"/>
      <c r="P250" s="119"/>
      <c r="Q250" s="27"/>
    </row>
    <row r="251" spans="1:22">
      <c r="A251" s="100"/>
      <c r="B251" s="103" t="s">
        <v>38</v>
      </c>
      <c r="C251" s="238" t="s">
        <v>39</v>
      </c>
      <c r="D251" s="238"/>
      <c r="E251" s="238"/>
      <c r="F251" s="112"/>
      <c r="G251" s="103" t="s">
        <v>82</v>
      </c>
      <c r="H251" s="238" t="s">
        <v>116</v>
      </c>
      <c r="I251" s="238"/>
      <c r="J251" s="238"/>
      <c r="K251" s="104"/>
      <c r="L251" s="103" t="s">
        <v>80</v>
      </c>
      <c r="M251" s="238" t="s">
        <v>122</v>
      </c>
      <c r="N251" s="238"/>
      <c r="O251" s="238"/>
      <c r="P251" s="119"/>
      <c r="Q251" s="27"/>
    </row>
    <row r="252" spans="1:22">
      <c r="A252" s="100"/>
      <c r="B252" s="103" t="s">
        <v>60</v>
      </c>
      <c r="C252" s="238" t="s">
        <v>111</v>
      </c>
      <c r="D252" s="238"/>
      <c r="E252" s="238"/>
      <c r="F252" s="123"/>
      <c r="G252" s="103" t="s">
        <v>58</v>
      </c>
      <c r="H252" s="238" t="s">
        <v>117</v>
      </c>
      <c r="I252" s="238"/>
      <c r="J252" s="238"/>
      <c r="K252" s="104"/>
      <c r="L252" s="103" t="s">
        <v>81</v>
      </c>
      <c r="M252" s="238" t="s">
        <v>123</v>
      </c>
      <c r="N252" s="238"/>
      <c r="O252" s="238"/>
      <c r="P252" s="119"/>
      <c r="Q252" s="27"/>
    </row>
    <row r="253" spans="1:22">
      <c r="A253" s="100"/>
      <c r="B253" s="121" t="s">
        <v>69</v>
      </c>
      <c r="C253" s="238" t="s">
        <v>112</v>
      </c>
      <c r="D253" s="238"/>
      <c r="E253" s="238"/>
      <c r="F253" s="123"/>
      <c r="G253" s="103" t="s">
        <v>59</v>
      </c>
      <c r="H253" s="238" t="s">
        <v>118</v>
      </c>
      <c r="I253" s="238"/>
      <c r="J253" s="238"/>
      <c r="K253" s="121"/>
      <c r="L253" s="103" t="s">
        <v>62</v>
      </c>
      <c r="M253" s="238" t="s">
        <v>41</v>
      </c>
      <c r="N253" s="238"/>
      <c r="O253" s="238"/>
      <c r="P253" s="119"/>
      <c r="Q253" s="27"/>
    </row>
    <row r="254" spans="1:22">
      <c r="A254" s="100"/>
      <c r="B254" s="121" t="s">
        <v>61</v>
      </c>
      <c r="C254" s="238" t="s">
        <v>113</v>
      </c>
      <c r="D254" s="238"/>
      <c r="E254" s="238"/>
      <c r="F254" s="123"/>
      <c r="G254" s="121" t="s">
        <v>73</v>
      </c>
      <c r="H254" s="238" t="s">
        <v>119</v>
      </c>
      <c r="I254" s="238"/>
      <c r="J254" s="238"/>
      <c r="K254" s="121"/>
      <c r="L254" s="121" t="s">
        <v>63</v>
      </c>
      <c r="M254" s="238" t="s">
        <v>40</v>
      </c>
      <c r="N254" s="238"/>
      <c r="O254" s="238"/>
      <c r="P254" s="119"/>
      <c r="Q254" s="27"/>
    </row>
    <row r="255" spans="1:22">
      <c r="A255" s="100"/>
      <c r="B255" s="121" t="s">
        <v>70</v>
      </c>
      <c r="C255" s="238" t="s">
        <v>114</v>
      </c>
      <c r="D255" s="238"/>
      <c r="E255" s="238"/>
      <c r="F255" s="123"/>
      <c r="G255" s="121" t="s">
        <v>76</v>
      </c>
      <c r="H255" s="238" t="s">
        <v>120</v>
      </c>
      <c r="I255" s="238"/>
      <c r="J255" s="238"/>
      <c r="K255" s="121"/>
      <c r="L255" s="121"/>
      <c r="M255" s="238"/>
      <c r="N255" s="238"/>
      <c r="O255" s="238"/>
      <c r="P255" s="119"/>
      <c r="Q255" s="27"/>
    </row>
    <row r="256" spans="1:22">
      <c r="A256" s="100"/>
      <c r="B256" s="120"/>
      <c r="C256" s="120"/>
      <c r="D256" s="119"/>
      <c r="E256" s="119"/>
      <c r="F256" s="119"/>
      <c r="G256" s="119"/>
      <c r="H256" s="119"/>
      <c r="I256" s="119"/>
      <c r="J256" s="119"/>
      <c r="K256" s="119"/>
      <c r="L256" s="119"/>
      <c r="M256" s="119"/>
      <c r="N256" s="119"/>
      <c r="O256" s="119"/>
      <c r="P256" s="119"/>
      <c r="Q256" s="27"/>
    </row>
    <row r="257" spans="1:17">
      <c r="A257" s="100"/>
      <c r="B257" s="120"/>
      <c r="C257" s="120"/>
      <c r="D257" s="119"/>
      <c r="E257" s="119"/>
      <c r="F257" s="119"/>
      <c r="G257" s="119"/>
      <c r="H257" s="119"/>
      <c r="I257" s="119"/>
      <c r="J257" s="119"/>
      <c r="K257" s="252" t="s">
        <v>50</v>
      </c>
      <c r="L257" s="252"/>
      <c r="M257" s="252"/>
      <c r="N257" s="252"/>
      <c r="O257" s="252"/>
      <c r="P257" s="252"/>
      <c r="Q257" s="252"/>
    </row>
    <row r="258" spans="1:17">
      <c r="A258" s="100"/>
      <c r="B258" s="79"/>
      <c r="C258" s="79"/>
      <c r="D258" s="22"/>
      <c r="E258" s="22"/>
      <c r="F258" s="22"/>
      <c r="G258" s="22"/>
      <c r="H258" s="22"/>
      <c r="I258" s="22"/>
      <c r="J258" s="22"/>
      <c r="K258" s="252" t="s">
        <v>51</v>
      </c>
      <c r="L258" s="252"/>
      <c r="M258" s="252"/>
      <c r="N258" s="252"/>
      <c r="O258" s="252"/>
      <c r="P258" s="252"/>
      <c r="Q258" s="252"/>
    </row>
    <row r="259" spans="1:17">
      <c r="A259" s="100"/>
      <c r="B259" s="79"/>
      <c r="C259" s="79"/>
      <c r="D259" s="22"/>
      <c r="E259" s="22"/>
      <c r="F259" s="22"/>
      <c r="G259" s="22"/>
      <c r="H259" s="22"/>
      <c r="I259" s="22"/>
      <c r="J259" s="22"/>
      <c r="K259" s="253" t="s">
        <v>281</v>
      </c>
      <c r="L259" s="252"/>
      <c r="M259" s="252"/>
      <c r="N259" s="252"/>
      <c r="O259" s="252"/>
      <c r="P259" s="252"/>
      <c r="Q259" s="252"/>
    </row>
    <row r="260" spans="1:17">
      <c r="A260" s="100"/>
      <c r="B260" s="189"/>
      <c r="C260" s="189"/>
      <c r="D260" s="188"/>
      <c r="E260" s="188"/>
      <c r="F260" s="188"/>
      <c r="G260" s="188"/>
      <c r="H260" s="188"/>
      <c r="I260" s="188"/>
      <c r="J260" s="188"/>
      <c r="K260" s="187"/>
      <c r="L260" s="186"/>
      <c r="M260" s="186"/>
      <c r="N260" s="186"/>
      <c r="O260" s="186"/>
      <c r="P260" s="186"/>
      <c r="Q260" s="186"/>
    </row>
    <row r="261" spans="1:17">
      <c r="A261" s="288"/>
      <c r="B261" s="289"/>
      <c r="C261" s="289"/>
      <c r="D261" s="119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19"/>
      <c r="P261" s="119"/>
      <c r="Q261" s="27"/>
    </row>
    <row r="262" spans="1:17">
      <c r="A262" s="81"/>
      <c r="B262" s="105"/>
      <c r="C262" s="107"/>
      <c r="D262" s="107"/>
      <c r="E262" s="107"/>
      <c r="F262" s="106"/>
      <c r="G262" s="105"/>
      <c r="H262" s="107"/>
      <c r="I262" s="107"/>
      <c r="J262" s="107"/>
      <c r="K262" s="105"/>
      <c r="L262" s="105"/>
      <c r="M262" s="107"/>
      <c r="N262" s="107"/>
      <c r="O262" s="107"/>
      <c r="P262" s="105"/>
      <c r="Q262" s="105"/>
    </row>
    <row r="263" spans="1:17">
      <c r="A263" s="81"/>
      <c r="B263" s="105"/>
      <c r="C263" s="107"/>
      <c r="D263" s="107"/>
      <c r="E263" s="107"/>
      <c r="F263" s="303" t="s">
        <v>47</v>
      </c>
      <c r="G263" s="303"/>
      <c r="H263" s="303"/>
      <c r="I263" s="303"/>
      <c r="J263" s="107"/>
      <c r="K263" s="105"/>
      <c r="L263" s="105"/>
      <c r="M263" s="107"/>
      <c r="N263" s="107"/>
      <c r="O263" s="107"/>
      <c r="P263" s="105"/>
      <c r="Q263" s="105"/>
    </row>
    <row r="264" spans="1:17">
      <c r="A264" s="358" t="s">
        <v>306</v>
      </c>
      <c r="B264" s="359"/>
      <c r="C264" s="359"/>
      <c r="D264" s="107">
        <v>2.9</v>
      </c>
      <c r="E264" s="107"/>
      <c r="F264" s="308" t="s">
        <v>279</v>
      </c>
      <c r="G264" s="309"/>
      <c r="H264" s="309" t="s">
        <v>33</v>
      </c>
      <c r="I264" s="310"/>
      <c r="J264" s="107"/>
      <c r="K264" s="105"/>
      <c r="L264" s="105"/>
      <c r="M264" s="107"/>
      <c r="N264" s="107"/>
      <c r="O264" s="107"/>
      <c r="P264" s="105"/>
      <c r="Q264" s="105"/>
    </row>
    <row r="265" spans="1:17">
      <c r="A265" s="358" t="s">
        <v>307</v>
      </c>
      <c r="B265" s="359"/>
      <c r="C265" s="359"/>
      <c r="D265" s="107">
        <v>3.5</v>
      </c>
      <c r="E265" s="109"/>
      <c r="F265" s="311">
        <v>450</v>
      </c>
      <c r="G265" s="312"/>
      <c r="H265" s="313">
        <v>1.304</v>
      </c>
      <c r="I265" s="314"/>
      <c r="J265" s="107"/>
      <c r="K265" s="105">
        <v>1.304</v>
      </c>
      <c r="L265" s="105">
        <v>0.35</v>
      </c>
      <c r="M265" s="107"/>
      <c r="N265" s="107"/>
      <c r="O265" s="107"/>
      <c r="P265" s="105"/>
      <c r="Q265" s="105"/>
    </row>
    <row r="266" spans="1:17">
      <c r="A266" s="81"/>
      <c r="B266" s="105"/>
      <c r="C266" s="107"/>
      <c r="D266" s="107"/>
      <c r="E266" s="109"/>
      <c r="F266" s="295">
        <v>300</v>
      </c>
      <c r="G266" s="296"/>
      <c r="H266" s="297">
        <v>1.7210000000000001</v>
      </c>
      <c r="I266" s="298"/>
      <c r="J266" s="107"/>
      <c r="K266" s="105"/>
      <c r="L266" s="105"/>
      <c r="M266" s="107"/>
      <c r="N266" s="107"/>
      <c r="O266" s="107"/>
      <c r="P266" s="105"/>
      <c r="Q266" s="105"/>
    </row>
    <row r="267" spans="1:17">
      <c r="A267" s="81"/>
      <c r="B267" s="105"/>
      <c r="C267" s="107"/>
      <c r="D267" s="107"/>
      <c r="E267" s="109"/>
      <c r="F267" s="295">
        <v>150</v>
      </c>
      <c r="G267" s="296"/>
      <c r="H267" s="297">
        <v>2.46</v>
      </c>
      <c r="I267" s="298"/>
      <c r="J267" s="107"/>
      <c r="K267" s="105"/>
      <c r="L267" s="105"/>
      <c r="M267" s="107"/>
      <c r="N267" s="107"/>
      <c r="O267" s="107"/>
      <c r="P267" s="105"/>
      <c r="Q267" s="105"/>
    </row>
    <row r="268" spans="1:17">
      <c r="A268" s="81"/>
      <c r="B268" s="105"/>
      <c r="C268" s="107"/>
      <c r="D268" s="107"/>
      <c r="E268" s="109"/>
      <c r="F268" s="295">
        <v>100</v>
      </c>
      <c r="G268" s="296"/>
      <c r="H268" s="297">
        <v>2.87</v>
      </c>
      <c r="I268" s="298"/>
      <c r="J268" s="107"/>
      <c r="K268" s="105"/>
      <c r="L268" s="105"/>
      <c r="M268" s="107"/>
      <c r="N268" s="107"/>
      <c r="O268" s="107"/>
      <c r="P268" s="105"/>
      <c r="Q268" s="105"/>
    </row>
    <row r="269" spans="1:17">
      <c r="A269" s="81"/>
      <c r="B269" s="105"/>
      <c r="C269" s="107"/>
      <c r="D269" s="107"/>
      <c r="E269" s="107"/>
      <c r="F269" s="295" t="s">
        <v>106</v>
      </c>
      <c r="G269" s="296"/>
      <c r="H269" s="297">
        <v>1.1759999999999999</v>
      </c>
      <c r="I269" s="298"/>
      <c r="J269" s="107"/>
      <c r="K269" s="105">
        <v>1.1759999999999999</v>
      </c>
      <c r="L269" s="105">
        <v>0.16600000000000001</v>
      </c>
      <c r="M269" s="107"/>
      <c r="N269" s="107"/>
      <c r="O269" s="107"/>
      <c r="P269" s="105"/>
      <c r="Q269" s="105"/>
    </row>
    <row r="270" spans="1:17">
      <c r="A270" s="81"/>
      <c r="B270" s="105"/>
      <c r="C270" s="107"/>
      <c r="D270" s="107"/>
      <c r="E270" s="107"/>
      <c r="F270" s="295" t="s">
        <v>107</v>
      </c>
      <c r="G270" s="296"/>
      <c r="H270" s="297">
        <v>0.88300000000000001</v>
      </c>
      <c r="I270" s="298"/>
      <c r="J270" s="107"/>
      <c r="K270" s="105">
        <v>0.88300000000000001</v>
      </c>
      <c r="L270" s="105">
        <v>0.16600000000000001</v>
      </c>
      <c r="M270" s="107"/>
      <c r="N270" s="107"/>
      <c r="O270" s="107"/>
      <c r="P270" s="105"/>
      <c r="Q270" s="105"/>
    </row>
    <row r="271" spans="1:17">
      <c r="A271" s="81"/>
      <c r="B271" s="105"/>
      <c r="C271" s="107"/>
      <c r="D271" s="107"/>
      <c r="E271" s="107"/>
      <c r="F271" s="295" t="s">
        <v>40</v>
      </c>
      <c r="G271" s="296"/>
      <c r="H271" s="297">
        <v>1.286</v>
      </c>
      <c r="I271" s="298"/>
      <c r="J271" s="107"/>
      <c r="K271" s="105"/>
      <c r="L271" s="105"/>
      <c r="M271" s="107"/>
      <c r="N271" s="107"/>
      <c r="O271" s="107"/>
      <c r="P271" s="105"/>
      <c r="Q271" s="105"/>
    </row>
    <row r="272" spans="1:17">
      <c r="A272" s="81"/>
      <c r="B272" s="105"/>
      <c r="C272" s="107"/>
      <c r="D272" s="107"/>
      <c r="E272" s="107"/>
      <c r="F272" s="295" t="s">
        <v>108</v>
      </c>
      <c r="G272" s="296"/>
      <c r="H272" s="297">
        <v>1.2</v>
      </c>
      <c r="I272" s="298"/>
      <c r="J272" s="107"/>
      <c r="K272" s="105">
        <v>4</v>
      </c>
      <c r="L272" s="105">
        <v>1.2</v>
      </c>
      <c r="M272" s="107"/>
      <c r="N272" s="107"/>
      <c r="O272" s="107"/>
      <c r="P272" s="105"/>
      <c r="Q272" s="105"/>
    </row>
    <row r="273" spans="1:17">
      <c r="A273" s="81"/>
      <c r="B273" s="105"/>
      <c r="C273" s="107"/>
      <c r="D273" s="107"/>
      <c r="E273" s="107"/>
      <c r="F273" s="295" t="s">
        <v>110</v>
      </c>
      <c r="G273" s="296"/>
      <c r="H273" s="297">
        <v>5</v>
      </c>
      <c r="I273" s="298"/>
      <c r="J273" s="107"/>
      <c r="K273" s="105">
        <v>5</v>
      </c>
      <c r="L273" s="105">
        <v>1.4</v>
      </c>
      <c r="M273" s="107"/>
      <c r="N273" s="107"/>
      <c r="O273" s="107"/>
      <c r="P273" s="105"/>
      <c r="Q273" s="105"/>
    </row>
    <row r="274" spans="1:17">
      <c r="A274" s="81"/>
      <c r="B274" s="105"/>
      <c r="C274" s="107"/>
      <c r="D274" s="107"/>
      <c r="E274" s="107"/>
      <c r="F274" s="295" t="s">
        <v>48</v>
      </c>
      <c r="G274" s="296"/>
      <c r="H274" s="297">
        <v>2</v>
      </c>
      <c r="I274" s="298"/>
      <c r="J274" s="107"/>
      <c r="K274" s="105"/>
      <c r="L274" s="105"/>
      <c r="M274" s="107"/>
      <c r="N274" s="107"/>
      <c r="O274" s="107"/>
      <c r="P274" s="105"/>
      <c r="Q274" s="105"/>
    </row>
    <row r="275" spans="1:17">
      <c r="A275" s="81"/>
      <c r="B275" s="105"/>
      <c r="C275" s="107"/>
      <c r="D275" s="107"/>
      <c r="E275" s="107"/>
      <c r="F275" s="299" t="s">
        <v>109</v>
      </c>
      <c r="G275" s="300"/>
      <c r="H275" s="301">
        <v>1.2</v>
      </c>
      <c r="I275" s="302"/>
      <c r="J275" s="107"/>
      <c r="K275" s="105"/>
      <c r="L275" s="105">
        <v>1.2</v>
      </c>
      <c r="M275" s="107"/>
      <c r="N275" s="107"/>
      <c r="O275" s="107"/>
      <c r="P275" s="105"/>
      <c r="Q275" s="105"/>
    </row>
    <row r="276" spans="1:17">
      <c r="A276" s="81"/>
      <c r="B276" s="105"/>
      <c r="C276" s="107"/>
      <c r="D276" s="107"/>
      <c r="E276" s="107"/>
      <c r="F276" s="106"/>
      <c r="G276" s="105"/>
      <c r="H276" s="107"/>
      <c r="I276" s="107"/>
      <c r="J276" s="107"/>
      <c r="K276" s="105"/>
      <c r="L276" s="105"/>
      <c r="M276" s="107"/>
      <c r="N276" s="107"/>
      <c r="O276" s="107"/>
      <c r="P276" s="105"/>
      <c r="Q276" s="105"/>
    </row>
    <row r="277" spans="1:17">
      <c r="A277" s="81"/>
      <c r="B277" s="304" t="s">
        <v>126</v>
      </c>
      <c r="C277" s="305"/>
      <c r="D277" s="305"/>
      <c r="E277" s="107"/>
      <c r="F277" s="106"/>
      <c r="G277" s="105"/>
      <c r="H277" s="107"/>
      <c r="I277" s="107"/>
      <c r="J277" s="107"/>
      <c r="K277" s="105"/>
      <c r="L277" s="105"/>
      <c r="M277" s="107"/>
      <c r="N277" s="107"/>
      <c r="O277" s="107"/>
      <c r="P277" s="105"/>
      <c r="Q277" s="105"/>
    </row>
    <row r="278" spans="1:17">
      <c r="A278" s="81"/>
      <c r="B278" s="105"/>
      <c r="C278" s="107"/>
      <c r="D278" s="107"/>
      <c r="E278" s="107"/>
      <c r="F278" s="106"/>
      <c r="G278" s="105"/>
      <c r="H278" s="107"/>
      <c r="I278" s="107"/>
      <c r="J278" s="107"/>
      <c r="K278" s="105"/>
      <c r="L278" s="105"/>
      <c r="M278" s="107"/>
      <c r="N278" s="107"/>
      <c r="O278" s="107"/>
      <c r="P278" s="105"/>
      <c r="Q278" s="105"/>
    </row>
    <row r="279" spans="1:17">
      <c r="A279" s="81"/>
      <c r="B279" s="105" t="s">
        <v>127</v>
      </c>
      <c r="C279" s="238" t="s">
        <v>128</v>
      </c>
      <c r="D279" s="238"/>
      <c r="E279" s="238"/>
      <c r="F279" s="106"/>
      <c r="G279" s="306" t="s">
        <v>129</v>
      </c>
      <c r="H279" s="307"/>
      <c r="I279" s="307"/>
      <c r="J279" s="136" t="s">
        <v>134</v>
      </c>
      <c r="K279" s="105"/>
      <c r="L279" s="105"/>
      <c r="M279" s="107"/>
      <c r="N279" s="107"/>
      <c r="O279" s="107"/>
      <c r="P279" s="105"/>
      <c r="Q279" s="105"/>
    </row>
    <row r="280" spans="1:17">
      <c r="A280" s="81"/>
      <c r="B280" s="105"/>
      <c r="C280" s="107"/>
      <c r="D280" s="107"/>
      <c r="E280" s="107"/>
      <c r="F280" s="106"/>
      <c r="G280" s="105"/>
      <c r="H280" s="107" t="s">
        <v>130</v>
      </c>
      <c r="I280" s="238" t="s">
        <v>133</v>
      </c>
      <c r="J280" s="244"/>
      <c r="K280" s="244"/>
      <c r="L280" s="244"/>
      <c r="M280" s="244"/>
      <c r="N280" s="107" t="s">
        <v>134</v>
      </c>
      <c r="O280" s="107"/>
      <c r="P280" s="105"/>
      <c r="Q280" s="105"/>
    </row>
    <row r="281" spans="1:17">
      <c r="A281" s="81"/>
      <c r="B281" s="105"/>
      <c r="C281" s="107"/>
      <c r="D281" s="107"/>
      <c r="E281" s="107"/>
      <c r="F281" s="106"/>
      <c r="G281" s="105"/>
      <c r="H281" s="107" t="s">
        <v>131</v>
      </c>
      <c r="I281" s="238" t="s">
        <v>135</v>
      </c>
      <c r="J281" s="244"/>
      <c r="K281" s="244"/>
      <c r="L281" s="244"/>
      <c r="M281" s="244"/>
      <c r="N281" s="107" t="s">
        <v>134</v>
      </c>
      <c r="O281" s="107"/>
      <c r="P281" s="105"/>
      <c r="Q281" s="105"/>
    </row>
    <row r="282" spans="1:17">
      <c r="A282" s="81"/>
      <c r="B282" s="105"/>
      <c r="C282" s="107"/>
      <c r="D282" s="107"/>
      <c r="E282" s="107"/>
      <c r="F282" s="106"/>
      <c r="G282" s="105"/>
      <c r="H282" s="107" t="s">
        <v>42</v>
      </c>
      <c r="I282" s="238" t="s">
        <v>136</v>
      </c>
      <c r="J282" s="244"/>
      <c r="K282" s="244"/>
      <c r="L282" s="244"/>
      <c r="M282" s="244"/>
      <c r="N282" s="107" t="s">
        <v>134</v>
      </c>
      <c r="O282" s="107"/>
      <c r="P282" s="105"/>
      <c r="Q282" s="105"/>
    </row>
    <row r="283" spans="1:17">
      <c r="A283" s="81"/>
      <c r="B283" s="105"/>
      <c r="C283" s="107"/>
      <c r="D283" s="107"/>
      <c r="E283" s="107"/>
      <c r="F283" s="106"/>
      <c r="G283" s="105"/>
      <c r="H283" s="107" t="s">
        <v>132</v>
      </c>
      <c r="I283" s="238" t="s">
        <v>137</v>
      </c>
      <c r="J283" s="244"/>
      <c r="K283" s="244"/>
      <c r="L283" s="244"/>
      <c r="M283" s="244"/>
      <c r="N283" s="107" t="s">
        <v>134</v>
      </c>
      <c r="O283" s="107"/>
      <c r="P283" s="105"/>
      <c r="Q283" s="105"/>
    </row>
    <row r="284" spans="1:17">
      <c r="A284" s="81"/>
      <c r="B284" s="105"/>
      <c r="C284" s="107"/>
      <c r="D284" s="107"/>
      <c r="E284" s="107"/>
      <c r="F284" s="106"/>
      <c r="G284" s="105"/>
      <c r="H284" s="107"/>
      <c r="I284" s="107"/>
      <c r="J284" s="107"/>
      <c r="K284" s="105"/>
      <c r="L284" s="105"/>
      <c r="M284" s="107"/>
      <c r="N284" s="107"/>
      <c r="O284" s="107"/>
      <c r="P284" s="105"/>
      <c r="Q284" s="105"/>
    </row>
    <row r="285" spans="1:17" ht="25.5" customHeight="1">
      <c r="A285" s="81"/>
      <c r="B285" s="110" t="s">
        <v>138</v>
      </c>
      <c r="C285" s="266" t="s">
        <v>135</v>
      </c>
      <c r="D285" s="266"/>
      <c r="E285" s="266"/>
      <c r="F285" s="111"/>
      <c r="G285" s="281" t="s">
        <v>146</v>
      </c>
      <c r="H285" s="282"/>
      <c r="I285" s="282"/>
      <c r="J285" s="282"/>
      <c r="K285" s="110" t="s">
        <v>134</v>
      </c>
      <c r="L285" s="105"/>
      <c r="M285" s="107"/>
      <c r="N285" s="107"/>
      <c r="O285" s="107"/>
      <c r="P285" s="105"/>
      <c r="Q285" s="105"/>
    </row>
    <row r="286" spans="1:17">
      <c r="A286" s="81"/>
      <c r="B286" s="105"/>
      <c r="C286" s="107"/>
      <c r="D286" s="107"/>
      <c r="E286" s="107"/>
      <c r="F286" s="106"/>
      <c r="G286" s="105"/>
      <c r="H286" s="112" t="s">
        <v>210</v>
      </c>
      <c r="I286" s="238" t="s">
        <v>142</v>
      </c>
      <c r="J286" s="244"/>
      <c r="K286" s="244"/>
      <c r="L286" s="244"/>
      <c r="M286" s="244"/>
      <c r="N286" s="107" t="s">
        <v>134</v>
      </c>
      <c r="O286" s="107"/>
      <c r="P286" s="105"/>
      <c r="Q286" s="105"/>
    </row>
    <row r="287" spans="1:17">
      <c r="A287" s="81"/>
      <c r="B287" s="105"/>
      <c r="C287" s="107"/>
      <c r="D287" s="107"/>
      <c r="E287" s="107"/>
      <c r="F287" s="106"/>
      <c r="G287" s="105"/>
      <c r="H287" s="107" t="s">
        <v>139</v>
      </c>
      <c r="I287" s="293" t="s">
        <v>143</v>
      </c>
      <c r="J287" s="294"/>
      <c r="K287" s="294"/>
      <c r="L287" s="294"/>
      <c r="M287" s="294"/>
      <c r="N287" s="107"/>
      <c r="O287" s="107"/>
      <c r="P287" s="105"/>
      <c r="Q287" s="105"/>
    </row>
    <row r="288" spans="1:17">
      <c r="A288" s="81"/>
      <c r="B288" s="105"/>
      <c r="C288" s="107"/>
      <c r="D288" s="107"/>
      <c r="E288" s="107"/>
      <c r="F288" s="106"/>
      <c r="G288" s="105"/>
      <c r="H288" s="107" t="s">
        <v>140</v>
      </c>
      <c r="I288" s="238" t="s">
        <v>144</v>
      </c>
      <c r="J288" s="244"/>
      <c r="K288" s="244"/>
      <c r="L288" s="244"/>
      <c r="M288" s="244"/>
      <c r="N288" s="107"/>
      <c r="O288" s="107"/>
      <c r="P288" s="105"/>
      <c r="Q288" s="105"/>
    </row>
    <row r="289" spans="1:17">
      <c r="A289" s="81"/>
      <c r="B289" s="105"/>
      <c r="C289" s="107"/>
      <c r="D289" s="107"/>
      <c r="E289" s="107"/>
      <c r="F289" s="106"/>
      <c r="G289" s="105"/>
      <c r="H289" s="107" t="s">
        <v>141</v>
      </c>
      <c r="I289" s="238" t="s">
        <v>145</v>
      </c>
      <c r="J289" s="244"/>
      <c r="K289" s="244"/>
      <c r="L289" s="244"/>
      <c r="M289" s="244"/>
      <c r="N289" s="107"/>
      <c r="O289" s="107"/>
      <c r="P289" s="105"/>
      <c r="Q289" s="105"/>
    </row>
    <row r="290" spans="1:17">
      <c r="A290" s="81"/>
      <c r="B290" s="121"/>
      <c r="C290" s="112"/>
      <c r="D290" s="112"/>
      <c r="E290" s="112"/>
      <c r="F290" s="123"/>
      <c r="G290" s="121"/>
      <c r="H290" s="112"/>
      <c r="I290" s="112"/>
      <c r="J290" s="113"/>
      <c r="K290" s="113"/>
      <c r="L290" s="113"/>
      <c r="M290" s="113"/>
      <c r="N290" s="112"/>
      <c r="O290" s="112"/>
      <c r="P290" s="121"/>
      <c r="Q290" s="121"/>
    </row>
    <row r="291" spans="1:17" ht="24.75" customHeight="1">
      <c r="A291" s="81"/>
      <c r="B291" s="121"/>
      <c r="C291" s="266" t="s">
        <v>209</v>
      </c>
      <c r="D291" s="266"/>
      <c r="E291" s="266"/>
      <c r="F291" s="123"/>
      <c r="G291" s="290" t="s">
        <v>280</v>
      </c>
      <c r="H291" s="291"/>
      <c r="I291" s="291"/>
      <c r="J291" s="291"/>
      <c r="K291" s="291"/>
      <c r="L291" s="291"/>
      <c r="M291" s="291"/>
      <c r="N291" s="291"/>
      <c r="O291" s="291"/>
      <c r="P291" s="291"/>
      <c r="Q291" s="292"/>
    </row>
    <row r="292" spans="1:17">
      <c r="A292" s="81"/>
      <c r="B292" s="121"/>
      <c r="C292" s="112"/>
      <c r="D292" s="112"/>
      <c r="E292" s="112"/>
      <c r="F292" s="123"/>
      <c r="G292" s="121"/>
      <c r="H292" s="112" t="s">
        <v>211</v>
      </c>
      <c r="I292" s="238" t="s">
        <v>212</v>
      </c>
      <c r="J292" s="244"/>
      <c r="K292" s="244"/>
      <c r="L292" s="244"/>
      <c r="M292" s="244"/>
      <c r="N292" s="112" t="s">
        <v>276</v>
      </c>
      <c r="O292" s="112"/>
      <c r="P292" s="121"/>
      <c r="Q292" s="121"/>
    </row>
    <row r="293" spans="1:17">
      <c r="A293" s="81"/>
      <c r="B293" s="121"/>
      <c r="C293" s="112"/>
      <c r="D293" s="112"/>
      <c r="E293" s="112"/>
      <c r="F293" s="123"/>
      <c r="G293" s="121"/>
      <c r="H293" s="112" t="s">
        <v>33</v>
      </c>
      <c r="I293" s="238" t="s">
        <v>213</v>
      </c>
      <c r="J293" s="244"/>
      <c r="K293" s="244"/>
      <c r="L293" s="244"/>
      <c r="M293" s="244"/>
      <c r="N293" s="112" t="s">
        <v>277</v>
      </c>
      <c r="O293" s="112"/>
      <c r="P293" s="121"/>
      <c r="Q293" s="121"/>
    </row>
    <row r="294" spans="1:17">
      <c r="A294" s="81"/>
      <c r="B294" s="121"/>
      <c r="C294" s="112"/>
      <c r="D294" s="112"/>
      <c r="E294" s="112"/>
      <c r="F294" s="123"/>
      <c r="G294" s="121"/>
      <c r="H294" s="112" t="s">
        <v>214</v>
      </c>
      <c r="I294" s="238" t="s">
        <v>216</v>
      </c>
      <c r="J294" s="244"/>
      <c r="K294" s="244"/>
      <c r="L294" s="244"/>
      <c r="M294" s="244"/>
      <c r="N294" s="112" t="s">
        <v>217</v>
      </c>
      <c r="O294" s="112"/>
      <c r="P294" s="121"/>
      <c r="Q294" s="121"/>
    </row>
    <row r="295" spans="1:17" ht="36.75" customHeight="1">
      <c r="A295" s="81"/>
      <c r="B295" s="121"/>
      <c r="C295" s="112"/>
      <c r="D295" s="112"/>
      <c r="E295" s="112"/>
      <c r="F295" s="123"/>
      <c r="G295" s="121"/>
      <c r="H295" s="269" t="s">
        <v>215</v>
      </c>
      <c r="I295" s="266" t="s">
        <v>218</v>
      </c>
      <c r="J295" s="268"/>
      <c r="K295" s="268"/>
      <c r="L295" s="268"/>
      <c r="M295" s="268"/>
      <c r="N295" s="135" t="s">
        <v>217</v>
      </c>
      <c r="O295" s="112"/>
      <c r="P295" s="121"/>
      <c r="Q295" s="121"/>
    </row>
    <row r="296" spans="1:17" ht="18" customHeight="1">
      <c r="A296" s="81"/>
      <c r="B296" s="121"/>
      <c r="C296" s="112"/>
      <c r="D296" s="112"/>
      <c r="E296" s="112"/>
      <c r="F296" s="123"/>
      <c r="G296" s="121"/>
      <c r="H296" s="269"/>
      <c r="I296" s="266" t="s">
        <v>275</v>
      </c>
      <c r="J296" s="268"/>
      <c r="K296" s="268"/>
      <c r="L296" s="268"/>
      <c r="M296" s="268"/>
      <c r="N296" s="135"/>
      <c r="O296" s="112"/>
      <c r="P296" s="121"/>
      <c r="Q296" s="121"/>
    </row>
    <row r="297" spans="1:17">
      <c r="A297" s="81"/>
      <c r="B297" s="121"/>
      <c r="C297" s="112"/>
      <c r="D297" s="112" t="s">
        <v>219</v>
      </c>
      <c r="E297" s="238" t="s">
        <v>220</v>
      </c>
      <c r="F297" s="244"/>
      <c r="G297" s="244"/>
      <c r="H297" s="244"/>
      <c r="I297" s="244"/>
      <c r="J297" s="244"/>
      <c r="K297" s="244"/>
      <c r="L297" s="244"/>
      <c r="M297" s="244"/>
      <c r="N297" s="244"/>
      <c r="O297" s="244"/>
      <c r="P297" s="244"/>
      <c r="Q297" s="244"/>
    </row>
    <row r="298" spans="1:17">
      <c r="A298" s="81"/>
      <c r="B298" s="121"/>
      <c r="C298" s="112"/>
      <c r="D298" s="112"/>
      <c r="E298" s="112"/>
      <c r="F298" s="123"/>
      <c r="G298" s="121"/>
      <c r="H298" s="112"/>
      <c r="I298" s="112"/>
      <c r="J298" s="113"/>
      <c r="K298" s="113"/>
      <c r="L298" s="113"/>
      <c r="M298" s="113"/>
      <c r="N298" s="112"/>
      <c r="O298" s="112"/>
      <c r="P298" s="121"/>
      <c r="Q298" s="121"/>
    </row>
    <row r="299" spans="1:17" ht="27" customHeight="1">
      <c r="A299" s="81"/>
      <c r="B299" s="121"/>
      <c r="C299" s="112"/>
      <c r="D299" s="112"/>
      <c r="E299" s="112"/>
      <c r="F299" s="123"/>
      <c r="G299" s="121"/>
      <c r="H299" s="135" t="s">
        <v>211</v>
      </c>
      <c r="I299" s="266" t="s">
        <v>221</v>
      </c>
      <c r="J299" s="268"/>
      <c r="K299" s="268"/>
      <c r="L299" s="268"/>
      <c r="M299" s="268"/>
      <c r="N299" s="135" t="s">
        <v>276</v>
      </c>
      <c r="O299" s="112"/>
      <c r="P299" s="121"/>
      <c r="Q299" s="121"/>
    </row>
    <row r="300" spans="1:17">
      <c r="A300" s="81"/>
      <c r="B300" s="121"/>
      <c r="C300" s="112"/>
      <c r="D300" s="112"/>
      <c r="E300" s="112"/>
      <c r="F300" s="123"/>
      <c r="G300" s="121"/>
      <c r="H300" s="112"/>
      <c r="I300" s="112"/>
      <c r="J300" s="113"/>
      <c r="K300" s="113"/>
      <c r="L300" s="113"/>
      <c r="M300" s="113"/>
      <c r="N300" s="112"/>
      <c r="O300" s="112"/>
      <c r="P300" s="121"/>
      <c r="Q300" s="121"/>
    </row>
    <row r="301" spans="1:17">
      <c r="A301" s="81"/>
      <c r="B301" s="121"/>
      <c r="C301" s="112"/>
      <c r="D301" s="112"/>
      <c r="E301" s="112"/>
      <c r="F301" s="123"/>
      <c r="G301" s="121"/>
      <c r="H301" s="112"/>
      <c r="I301" s="112"/>
      <c r="J301" s="113"/>
      <c r="K301" s="113"/>
      <c r="L301" s="113"/>
      <c r="M301" s="113"/>
      <c r="N301" s="112"/>
      <c r="O301" s="112"/>
      <c r="P301" s="121"/>
      <c r="Q301" s="121"/>
    </row>
    <row r="302" spans="1:17">
      <c r="A302" s="81"/>
      <c r="B302" s="121"/>
      <c r="C302" s="112"/>
      <c r="D302" s="112"/>
      <c r="E302" s="112"/>
      <c r="F302" s="123"/>
      <c r="G302" s="121"/>
      <c r="H302" s="112"/>
      <c r="I302" s="112"/>
      <c r="J302" s="113"/>
      <c r="K302" s="113"/>
      <c r="L302" s="113"/>
      <c r="M302" s="113"/>
      <c r="N302" s="112"/>
      <c r="O302" s="112"/>
      <c r="P302" s="121"/>
      <c r="Q302" s="121"/>
    </row>
    <row r="303" spans="1:17">
      <c r="A303" s="81"/>
      <c r="B303" s="121"/>
      <c r="C303" s="112"/>
      <c r="D303" s="112"/>
      <c r="E303" s="112"/>
      <c r="F303" s="123"/>
      <c r="G303" s="121"/>
      <c r="H303" s="112"/>
      <c r="I303" s="112"/>
      <c r="J303" s="113"/>
      <c r="K303" s="113"/>
      <c r="L303" s="113"/>
      <c r="M303" s="113"/>
      <c r="N303" s="112"/>
      <c r="O303" s="112"/>
      <c r="P303" s="121"/>
      <c r="Q303" s="121"/>
    </row>
    <row r="304" spans="1:17">
      <c r="A304" s="81"/>
      <c r="B304" s="105"/>
      <c r="C304" s="107"/>
      <c r="D304" s="107"/>
      <c r="E304" s="107"/>
      <c r="F304" s="106"/>
      <c r="G304" s="105"/>
      <c r="H304" s="107"/>
      <c r="I304" s="107"/>
      <c r="J304" s="107"/>
      <c r="K304" s="105"/>
      <c r="L304" s="105"/>
      <c r="M304" s="107"/>
      <c r="N304" s="107"/>
      <c r="O304" s="107"/>
      <c r="P304" s="105"/>
      <c r="Q304" s="105"/>
    </row>
    <row r="305" spans="1:17" ht="66" customHeight="1">
      <c r="A305" s="3"/>
      <c r="B305" s="105"/>
      <c r="C305" s="106"/>
      <c r="D305" s="111" t="s">
        <v>140</v>
      </c>
      <c r="E305" s="285" t="s">
        <v>224</v>
      </c>
      <c r="F305" s="268"/>
      <c r="G305" s="268"/>
      <c r="H305" s="268"/>
      <c r="I305" s="268"/>
      <c r="J305" s="268"/>
      <c r="K305" s="268"/>
      <c r="L305" s="268"/>
      <c r="M305" s="268"/>
      <c r="N305" s="268"/>
      <c r="O305" s="268"/>
      <c r="P305" s="268"/>
      <c r="Q305" s="268"/>
    </row>
    <row r="306" spans="1:17">
      <c r="A306" s="3"/>
      <c r="B306" s="105"/>
      <c r="C306" s="105"/>
      <c r="D306" s="105"/>
      <c r="E306" s="105"/>
      <c r="F306" s="105">
        <v>0.1</v>
      </c>
      <c r="G306" s="272" t="s">
        <v>222</v>
      </c>
      <c r="H306" s="286"/>
      <c r="I306" s="286"/>
      <c r="J306" s="286"/>
      <c r="K306" s="286"/>
      <c r="L306" s="286"/>
      <c r="M306" s="286"/>
      <c r="N306" s="286"/>
      <c r="O306" s="286"/>
      <c r="P306" s="286"/>
      <c r="Q306" s="286"/>
    </row>
    <row r="307" spans="1:17">
      <c r="A307" s="3"/>
      <c r="B307" s="105"/>
      <c r="C307" s="105"/>
      <c r="D307" s="105"/>
      <c r="E307" s="105"/>
      <c r="F307" s="121">
        <v>0.2</v>
      </c>
      <c r="G307" s="272" t="s">
        <v>223</v>
      </c>
      <c r="H307" s="286"/>
      <c r="I307" s="286"/>
      <c r="J307" s="286"/>
      <c r="K307" s="286"/>
      <c r="L307" s="286"/>
      <c r="M307" s="286"/>
      <c r="N307" s="286"/>
      <c r="O307" s="286"/>
      <c r="P307" s="286"/>
      <c r="Q307" s="286"/>
    </row>
    <row r="308" spans="1:17" ht="36.75" customHeight="1">
      <c r="A308" s="3"/>
      <c r="B308" s="105"/>
      <c r="C308" s="105"/>
      <c r="D308" s="177" t="s">
        <v>141</v>
      </c>
      <c r="E308" s="287" t="s">
        <v>225</v>
      </c>
      <c r="F308" s="287"/>
      <c r="G308" s="287"/>
      <c r="H308" s="287"/>
      <c r="I308" s="287"/>
      <c r="J308" s="287"/>
      <c r="K308" s="287"/>
      <c r="L308" s="287"/>
      <c r="M308" s="287"/>
      <c r="N308" s="287"/>
      <c r="O308" s="287"/>
      <c r="P308" s="287"/>
      <c r="Q308" s="287"/>
    </row>
    <row r="309" spans="1:17">
      <c r="A309" s="3"/>
      <c r="B309" s="105"/>
      <c r="C309" s="105"/>
      <c r="D309" s="105"/>
      <c r="E309" s="105"/>
      <c r="F309" s="105"/>
      <c r="G309" s="105"/>
      <c r="H309" s="105"/>
      <c r="I309" s="105"/>
      <c r="J309" s="105"/>
      <c r="K309" s="105"/>
      <c r="L309" s="105"/>
      <c r="M309" s="105"/>
      <c r="N309" s="105"/>
      <c r="O309" s="105"/>
      <c r="P309" s="105"/>
      <c r="Q309" s="105"/>
    </row>
    <row r="310" spans="1:17" ht="22.5">
      <c r="A310" s="81"/>
      <c r="B310" s="121"/>
      <c r="C310" s="121"/>
      <c r="D310" s="184" t="s">
        <v>226</v>
      </c>
      <c r="E310" s="182" t="s">
        <v>228</v>
      </c>
      <c r="F310" s="178" t="s">
        <v>229</v>
      </c>
      <c r="G310" s="178" t="s">
        <v>230</v>
      </c>
      <c r="H310" s="178" t="s">
        <v>231</v>
      </c>
      <c r="I310" s="178" t="s">
        <v>211</v>
      </c>
      <c r="J310" s="178" t="s">
        <v>232</v>
      </c>
      <c r="K310" s="178" t="s">
        <v>233</v>
      </c>
      <c r="L310" s="179" t="s">
        <v>234</v>
      </c>
      <c r="M310" s="121"/>
      <c r="N310" s="121"/>
      <c r="O310" s="121"/>
      <c r="P310" s="121"/>
      <c r="Q310" s="121"/>
    </row>
    <row r="311" spans="1:17" ht="22.5">
      <c r="A311" s="81"/>
      <c r="B311" s="121"/>
      <c r="C311" s="121"/>
      <c r="D311" s="185" t="s">
        <v>227</v>
      </c>
      <c r="E311" s="183">
        <v>-0.05</v>
      </c>
      <c r="F311" s="180">
        <v>0</v>
      </c>
      <c r="G311" s="180">
        <v>0</v>
      </c>
      <c r="H311" s="180">
        <v>0.05</v>
      </c>
      <c r="I311" s="180">
        <v>0.1</v>
      </c>
      <c r="J311" s="180">
        <v>0.05</v>
      </c>
      <c r="K311" s="180">
        <v>0.5</v>
      </c>
      <c r="L311" s="181">
        <v>0</v>
      </c>
      <c r="M311" s="121"/>
      <c r="N311" s="121"/>
      <c r="O311" s="121"/>
      <c r="P311" s="121"/>
      <c r="Q311" s="121"/>
    </row>
    <row r="312" spans="1:17">
      <c r="A312" s="8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  <c r="M312" s="121"/>
      <c r="N312" s="121"/>
      <c r="O312" s="121"/>
      <c r="P312" s="121"/>
      <c r="Q312" s="121"/>
    </row>
    <row r="313" spans="1:17" ht="25.5" customHeight="1">
      <c r="A313" s="81"/>
      <c r="B313" s="110" t="s">
        <v>235</v>
      </c>
      <c r="C313" s="266" t="s">
        <v>43</v>
      </c>
      <c r="D313" s="266"/>
      <c r="E313" s="266"/>
      <c r="F313" s="121"/>
      <c r="G313" s="281" t="s">
        <v>236</v>
      </c>
      <c r="H313" s="282"/>
      <c r="I313" s="282"/>
      <c r="J313" s="282"/>
      <c r="K313" s="177" t="s">
        <v>134</v>
      </c>
      <c r="L313" s="121"/>
      <c r="M313" s="121"/>
      <c r="N313" s="121"/>
      <c r="O313" s="121"/>
      <c r="P313" s="121"/>
      <c r="Q313" s="121"/>
    </row>
    <row r="314" spans="1:17" ht="13.5">
      <c r="A314" s="81"/>
      <c r="B314" s="110"/>
      <c r="C314" s="114"/>
      <c r="D314" s="114"/>
      <c r="E314" s="114"/>
      <c r="F314" s="121"/>
      <c r="G314" s="121"/>
      <c r="H314" s="121" t="s">
        <v>237</v>
      </c>
      <c r="I314" s="238" t="s">
        <v>239</v>
      </c>
      <c r="J314" s="244"/>
      <c r="K314" s="244"/>
      <c r="L314" s="244"/>
      <c r="M314" s="244"/>
      <c r="N314" s="272" t="s">
        <v>250</v>
      </c>
      <c r="O314" s="272"/>
      <c r="P314" s="121"/>
      <c r="Q314" s="121"/>
    </row>
    <row r="315" spans="1:17" ht="26.25" customHeight="1">
      <c r="A315" s="81"/>
      <c r="B315" s="110"/>
      <c r="C315" s="114"/>
      <c r="D315" s="114"/>
      <c r="E315" s="114"/>
      <c r="F315" s="121"/>
      <c r="G315" s="121"/>
      <c r="H315" s="110" t="s">
        <v>238</v>
      </c>
      <c r="I315" s="266" t="s">
        <v>241</v>
      </c>
      <c r="J315" s="268"/>
      <c r="K315" s="268"/>
      <c r="L315" s="268"/>
      <c r="M315" s="268"/>
      <c r="N315" s="284" t="s">
        <v>278</v>
      </c>
      <c r="O315" s="284"/>
      <c r="P315" s="121"/>
      <c r="Q315" s="121"/>
    </row>
    <row r="316" spans="1:17">
      <c r="A316" s="81"/>
      <c r="B316" s="110"/>
      <c r="C316" s="114"/>
      <c r="D316" s="114"/>
      <c r="E316" s="266" t="s">
        <v>242</v>
      </c>
      <c r="F316" s="267"/>
      <c r="G316" s="267"/>
      <c r="H316" s="121"/>
      <c r="I316" s="121"/>
      <c r="J316" s="121"/>
      <c r="K316" s="121"/>
      <c r="L316" s="121"/>
      <c r="M316" s="121"/>
      <c r="N316" s="121"/>
      <c r="O316" s="121"/>
      <c r="P316" s="121"/>
      <c r="Q316" s="121"/>
    </row>
    <row r="317" spans="1:17">
      <c r="A317" s="81"/>
      <c r="B317" s="110"/>
      <c r="C317" s="114"/>
      <c r="D317" s="114"/>
      <c r="E317" s="114"/>
      <c r="F317" s="121"/>
      <c r="G317" s="281" t="s">
        <v>243</v>
      </c>
      <c r="H317" s="282"/>
      <c r="I317" s="282"/>
      <c r="J317" s="282"/>
      <c r="K317" s="121" t="s">
        <v>249</v>
      </c>
      <c r="L317" s="121"/>
      <c r="M317" s="121"/>
      <c r="N317" s="121"/>
      <c r="O317" s="121"/>
      <c r="P317" s="121"/>
      <c r="Q317" s="121"/>
    </row>
    <row r="318" spans="1:17">
      <c r="A318" s="81"/>
      <c r="B318" s="110"/>
      <c r="C318" s="114"/>
      <c r="D318" s="114"/>
      <c r="E318" s="114"/>
      <c r="F318" s="121"/>
      <c r="G318" s="121"/>
      <c r="H318" s="121" t="s">
        <v>252</v>
      </c>
      <c r="I318" s="238" t="s">
        <v>244</v>
      </c>
      <c r="J318" s="244"/>
      <c r="K318" s="244"/>
      <c r="L318" s="244"/>
      <c r="M318" s="244"/>
      <c r="N318" s="121" t="s">
        <v>248</v>
      </c>
      <c r="O318" s="121"/>
      <c r="P318" s="121"/>
      <c r="Q318" s="121"/>
    </row>
    <row r="319" spans="1:17">
      <c r="A319" s="81"/>
      <c r="B319" s="110"/>
      <c r="C319" s="114"/>
      <c r="D319" s="114"/>
      <c r="E319" s="114"/>
      <c r="F319" s="121"/>
      <c r="G319" s="121"/>
      <c r="H319" s="121"/>
      <c r="I319" s="121">
        <v>0.5</v>
      </c>
      <c r="J319" s="272" t="s">
        <v>245</v>
      </c>
      <c r="K319" s="272"/>
      <c r="L319" s="272"/>
      <c r="M319" s="272"/>
      <c r="N319" s="272"/>
      <c r="O319" s="272"/>
      <c r="P319" s="121" t="s">
        <v>248</v>
      </c>
      <c r="Q319" s="121"/>
    </row>
    <row r="320" spans="1:17">
      <c r="A320" s="81"/>
      <c r="B320" s="110"/>
      <c r="C320" s="114"/>
      <c r="D320" s="114"/>
      <c r="E320" s="114"/>
      <c r="F320" s="121"/>
      <c r="G320" s="121"/>
      <c r="H320" s="121"/>
      <c r="I320" s="121">
        <v>0.35</v>
      </c>
      <c r="J320" s="283" t="s">
        <v>246</v>
      </c>
      <c r="K320" s="283"/>
      <c r="L320" s="283"/>
      <c r="M320" s="283"/>
      <c r="N320" s="283"/>
      <c r="O320" s="283"/>
      <c r="P320" s="121" t="s">
        <v>248</v>
      </c>
      <c r="Q320" s="121"/>
    </row>
    <row r="321" spans="1:17">
      <c r="A321" s="81"/>
      <c r="B321" s="110"/>
      <c r="C321" s="114"/>
      <c r="D321" s="114"/>
      <c r="E321" s="114"/>
      <c r="F321" s="121"/>
      <c r="G321" s="121"/>
      <c r="H321" s="121"/>
      <c r="I321" s="121">
        <v>0.25</v>
      </c>
      <c r="J321" s="272" t="s">
        <v>247</v>
      </c>
      <c r="K321" s="272"/>
      <c r="L321" s="272"/>
      <c r="M321" s="272"/>
      <c r="N321" s="272"/>
      <c r="O321" s="272"/>
      <c r="P321" s="121" t="s">
        <v>248</v>
      </c>
      <c r="Q321" s="121"/>
    </row>
    <row r="322" spans="1:17">
      <c r="A322" s="81"/>
      <c r="B322" s="110"/>
      <c r="C322" s="114"/>
      <c r="D322" s="114"/>
      <c r="E322" s="114"/>
      <c r="F322" s="121"/>
      <c r="G322" s="121"/>
      <c r="H322" s="121" t="s">
        <v>251</v>
      </c>
      <c r="I322" s="238" t="s">
        <v>44</v>
      </c>
      <c r="J322" s="244"/>
      <c r="K322" s="244"/>
      <c r="L322" s="244"/>
      <c r="M322" s="244"/>
      <c r="N322" s="122" t="s">
        <v>174</v>
      </c>
      <c r="O322" s="121"/>
      <c r="P322" s="121"/>
      <c r="Q322" s="121"/>
    </row>
    <row r="323" spans="1:17">
      <c r="A323" s="81"/>
      <c r="B323" s="110"/>
      <c r="C323" s="114"/>
      <c r="D323" s="114"/>
      <c r="E323" s="114"/>
      <c r="F323" s="121"/>
      <c r="G323" s="121"/>
      <c r="H323" s="121"/>
      <c r="I323" s="121"/>
      <c r="J323" s="121"/>
      <c r="K323" s="121"/>
      <c r="L323" s="121"/>
      <c r="M323" s="121"/>
      <c r="N323" s="121"/>
      <c r="O323" s="121"/>
      <c r="P323" s="121"/>
      <c r="Q323" s="121"/>
    </row>
    <row r="324" spans="1:17">
      <c r="A324" s="81"/>
      <c r="B324" s="110"/>
      <c r="C324" s="114"/>
      <c r="D324" s="114"/>
      <c r="E324" s="114"/>
      <c r="F324" s="121"/>
      <c r="G324" s="281" t="s">
        <v>253</v>
      </c>
      <c r="H324" s="282"/>
      <c r="I324" s="282"/>
      <c r="J324" s="282"/>
      <c r="K324" s="121" t="s">
        <v>249</v>
      </c>
      <c r="L324" s="121"/>
      <c r="M324" s="121"/>
      <c r="N324" s="121"/>
      <c r="O324" s="121"/>
      <c r="P324" s="121"/>
      <c r="Q324" s="121"/>
    </row>
    <row r="325" spans="1:17" ht="46.5" customHeight="1">
      <c r="A325" s="81"/>
      <c r="B325" s="110"/>
      <c r="C325" s="114"/>
      <c r="D325" s="114"/>
      <c r="E325" s="114"/>
      <c r="F325" s="121"/>
      <c r="G325" s="121"/>
      <c r="H325" s="110" t="s">
        <v>254</v>
      </c>
      <c r="I325" s="271" t="s">
        <v>260</v>
      </c>
      <c r="J325" s="267"/>
      <c r="K325" s="267"/>
      <c r="L325" s="267"/>
      <c r="M325" s="267"/>
      <c r="N325" s="284" t="s">
        <v>255</v>
      </c>
      <c r="O325" s="284"/>
      <c r="P325" s="284"/>
      <c r="Q325" s="284"/>
    </row>
    <row r="326" spans="1:17" ht="26.25" customHeight="1">
      <c r="A326" s="81"/>
      <c r="B326" s="110"/>
      <c r="C326" s="114"/>
      <c r="D326" s="114"/>
      <c r="E326" s="114"/>
      <c r="F326" s="121"/>
      <c r="G326" s="121"/>
      <c r="H326" s="110" t="s">
        <v>256</v>
      </c>
      <c r="I326" s="266" t="s">
        <v>261</v>
      </c>
      <c r="J326" s="268"/>
      <c r="K326" s="268"/>
      <c r="L326" s="268"/>
      <c r="M326" s="268"/>
      <c r="N326" s="177" t="s">
        <v>20</v>
      </c>
      <c r="O326" s="121"/>
      <c r="P326" s="121"/>
      <c r="Q326" s="121"/>
    </row>
    <row r="327" spans="1:17">
      <c r="A327" s="81"/>
      <c r="B327" s="110"/>
      <c r="C327" s="114"/>
      <c r="D327" s="114"/>
      <c r="E327" s="114"/>
      <c r="F327" s="121"/>
      <c r="G327" s="121"/>
      <c r="H327" s="121" t="s">
        <v>45</v>
      </c>
      <c r="I327" s="271" t="s">
        <v>257</v>
      </c>
      <c r="J327" s="267"/>
      <c r="K327" s="267"/>
      <c r="L327" s="267"/>
      <c r="M327" s="267"/>
      <c r="N327" s="272" t="s">
        <v>259</v>
      </c>
      <c r="O327" s="272"/>
      <c r="P327" s="121"/>
      <c r="Q327" s="121"/>
    </row>
    <row r="328" spans="1:17">
      <c r="A328" s="81"/>
      <c r="B328" s="110"/>
      <c r="C328" s="114"/>
      <c r="D328" s="114"/>
      <c r="E328" s="114"/>
      <c r="F328" s="121"/>
      <c r="G328" s="121"/>
      <c r="H328" s="121" t="s">
        <v>46</v>
      </c>
      <c r="I328" s="271" t="s">
        <v>258</v>
      </c>
      <c r="J328" s="267"/>
      <c r="K328" s="267"/>
      <c r="L328" s="267"/>
      <c r="M328" s="267"/>
      <c r="N328" s="121" t="s">
        <v>240</v>
      </c>
      <c r="O328" s="121"/>
      <c r="P328" s="121"/>
      <c r="Q328" s="121"/>
    </row>
    <row r="329" spans="1:17">
      <c r="A329" s="81"/>
      <c r="B329" s="110"/>
      <c r="C329" s="114"/>
      <c r="D329" s="114"/>
      <c r="E329" s="114"/>
      <c r="F329" s="121"/>
      <c r="G329" s="121"/>
      <c r="H329" s="121"/>
      <c r="I329" s="121"/>
      <c r="J329" s="121"/>
      <c r="K329" s="121"/>
      <c r="L329" s="121"/>
      <c r="M329" s="121"/>
      <c r="N329" s="121"/>
      <c r="O329" s="121"/>
      <c r="P329" s="121"/>
      <c r="Q329" s="121"/>
    </row>
    <row r="330" spans="1:17" ht="28.5" customHeight="1">
      <c r="A330" s="81"/>
      <c r="B330" s="110"/>
      <c r="C330" s="278" t="s">
        <v>262</v>
      </c>
      <c r="D330" s="275"/>
      <c r="E330" s="275"/>
      <c r="F330" s="275" t="s">
        <v>263</v>
      </c>
      <c r="G330" s="275"/>
      <c r="H330" s="275"/>
      <c r="I330" s="275" t="s">
        <v>264</v>
      </c>
      <c r="J330" s="275"/>
      <c r="K330" s="275" t="s">
        <v>267</v>
      </c>
      <c r="L330" s="275"/>
      <c r="M330" s="275"/>
      <c r="N330" s="275"/>
      <c r="O330" s="276"/>
      <c r="P330" s="110"/>
      <c r="Q330" s="110"/>
    </row>
    <row r="331" spans="1:17" ht="24.75" customHeight="1">
      <c r="A331" s="81"/>
      <c r="B331" s="110"/>
      <c r="C331" s="279"/>
      <c r="D331" s="280"/>
      <c r="E331" s="280"/>
      <c r="F331" s="277"/>
      <c r="G331" s="277"/>
      <c r="H331" s="277"/>
      <c r="I331" s="277"/>
      <c r="J331" s="277"/>
      <c r="K331" s="273" t="s">
        <v>265</v>
      </c>
      <c r="L331" s="273"/>
      <c r="M331" s="273" t="s">
        <v>266</v>
      </c>
      <c r="N331" s="273"/>
      <c r="O331" s="274"/>
      <c r="P331" s="110"/>
      <c r="Q331" s="110"/>
    </row>
    <row r="332" spans="1:17">
      <c r="A332" s="81"/>
      <c r="B332" s="110"/>
      <c r="C332" s="254" t="s">
        <v>268</v>
      </c>
      <c r="D332" s="255"/>
      <c r="E332" s="255"/>
      <c r="F332" s="264" t="s">
        <v>270</v>
      </c>
      <c r="G332" s="264"/>
      <c r="H332" s="264"/>
      <c r="I332" s="264">
        <v>4</v>
      </c>
      <c r="J332" s="264"/>
      <c r="K332" s="264">
        <v>3</v>
      </c>
      <c r="L332" s="264"/>
      <c r="M332" s="264">
        <v>4</v>
      </c>
      <c r="N332" s="264"/>
      <c r="O332" s="265"/>
      <c r="P332" s="110"/>
      <c r="Q332" s="110"/>
    </row>
    <row r="333" spans="1:17">
      <c r="A333" s="81"/>
      <c r="B333" s="110"/>
      <c r="C333" s="256"/>
      <c r="D333" s="257"/>
      <c r="E333" s="257"/>
      <c r="F333" s="260" t="s">
        <v>271</v>
      </c>
      <c r="G333" s="260"/>
      <c r="H333" s="260"/>
      <c r="I333" s="260">
        <v>6</v>
      </c>
      <c r="J333" s="260"/>
      <c r="K333" s="260">
        <v>6</v>
      </c>
      <c r="L333" s="260"/>
      <c r="M333" s="260">
        <v>8</v>
      </c>
      <c r="N333" s="260"/>
      <c r="O333" s="261"/>
      <c r="P333" s="110"/>
      <c r="Q333" s="110"/>
    </row>
    <row r="334" spans="1:17">
      <c r="A334" s="81"/>
      <c r="B334" s="110"/>
      <c r="C334" s="256"/>
      <c r="D334" s="257"/>
      <c r="E334" s="257"/>
      <c r="F334" s="260" t="s">
        <v>272</v>
      </c>
      <c r="G334" s="260"/>
      <c r="H334" s="260"/>
      <c r="I334" s="260">
        <v>8</v>
      </c>
      <c r="J334" s="260"/>
      <c r="K334" s="260">
        <v>9</v>
      </c>
      <c r="L334" s="260"/>
      <c r="M334" s="260">
        <v>12</v>
      </c>
      <c r="N334" s="260"/>
      <c r="O334" s="261"/>
      <c r="P334" s="110"/>
      <c r="Q334" s="110"/>
    </row>
    <row r="335" spans="1:17">
      <c r="A335" s="81"/>
      <c r="B335" s="110"/>
      <c r="C335" s="256" t="s">
        <v>269</v>
      </c>
      <c r="D335" s="257"/>
      <c r="E335" s="257"/>
      <c r="F335" s="260" t="s">
        <v>270</v>
      </c>
      <c r="G335" s="260"/>
      <c r="H335" s="260"/>
      <c r="I335" s="260">
        <v>6</v>
      </c>
      <c r="J335" s="260"/>
      <c r="K335" s="260">
        <v>6</v>
      </c>
      <c r="L335" s="260"/>
      <c r="M335" s="260">
        <v>8</v>
      </c>
      <c r="N335" s="260"/>
      <c r="O335" s="261"/>
      <c r="P335" s="110"/>
      <c r="Q335" s="110"/>
    </row>
    <row r="336" spans="1:17">
      <c r="A336" s="81"/>
      <c r="B336" s="110"/>
      <c r="C336" s="256"/>
      <c r="D336" s="257"/>
      <c r="E336" s="257"/>
      <c r="F336" s="260" t="s">
        <v>271</v>
      </c>
      <c r="G336" s="260"/>
      <c r="H336" s="260"/>
      <c r="I336" s="260">
        <v>8</v>
      </c>
      <c r="J336" s="260"/>
      <c r="K336" s="260">
        <v>9</v>
      </c>
      <c r="L336" s="260"/>
      <c r="M336" s="260">
        <v>12</v>
      </c>
      <c r="N336" s="260"/>
      <c r="O336" s="261"/>
      <c r="P336" s="110"/>
      <c r="Q336" s="110"/>
    </row>
    <row r="337" spans="1:18">
      <c r="A337" s="81"/>
      <c r="B337" s="110"/>
      <c r="C337" s="258"/>
      <c r="D337" s="259"/>
      <c r="E337" s="259"/>
      <c r="F337" s="262" t="s">
        <v>272</v>
      </c>
      <c r="G337" s="262"/>
      <c r="H337" s="262"/>
      <c r="I337" s="262">
        <v>10</v>
      </c>
      <c r="J337" s="262"/>
      <c r="K337" s="262">
        <v>12</v>
      </c>
      <c r="L337" s="262"/>
      <c r="M337" s="262">
        <v>16</v>
      </c>
      <c r="N337" s="262"/>
      <c r="O337" s="263"/>
      <c r="P337" s="110"/>
      <c r="Q337" s="110"/>
    </row>
    <row r="338" spans="1:18">
      <c r="A338" s="81"/>
      <c r="B338" s="110"/>
      <c r="C338" s="114"/>
      <c r="D338" s="114"/>
      <c r="E338" s="114"/>
      <c r="F338" s="110"/>
      <c r="G338" s="110"/>
      <c r="H338" s="110"/>
      <c r="I338" s="110"/>
      <c r="J338" s="110"/>
      <c r="K338" s="110"/>
      <c r="L338" s="110"/>
      <c r="M338" s="110"/>
      <c r="N338" s="110"/>
      <c r="O338" s="110"/>
      <c r="P338" s="110"/>
      <c r="Q338" s="110"/>
    </row>
    <row r="339" spans="1:18" ht="25.5" customHeight="1">
      <c r="A339" s="81"/>
      <c r="B339" s="110"/>
      <c r="C339" s="114"/>
      <c r="D339" s="266" t="s">
        <v>46</v>
      </c>
      <c r="E339" s="266" t="s">
        <v>273</v>
      </c>
      <c r="F339" s="267"/>
      <c r="G339" s="267"/>
      <c r="H339" s="267"/>
      <c r="I339" s="267"/>
      <c r="J339" s="267"/>
      <c r="K339" s="267"/>
      <c r="L339" s="267"/>
      <c r="M339" s="267"/>
      <c r="N339" s="267"/>
      <c r="O339" s="267"/>
      <c r="P339" s="121"/>
      <c r="Q339" s="121"/>
    </row>
    <row r="340" spans="1:18" ht="26.25" customHeight="1">
      <c r="A340" s="81"/>
      <c r="B340" s="110"/>
      <c r="C340" s="114"/>
      <c r="D340" s="266"/>
      <c r="E340" s="266" t="s">
        <v>274</v>
      </c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121"/>
      <c r="Q340" s="121"/>
    </row>
    <row r="341" spans="1:18">
      <c r="A341" s="81"/>
      <c r="B341" s="110"/>
      <c r="C341" s="114"/>
      <c r="D341" s="114"/>
      <c r="E341" s="114"/>
      <c r="F341" s="121"/>
      <c r="G341" s="121"/>
      <c r="H341" s="121"/>
      <c r="I341" s="121"/>
      <c r="J341" s="121"/>
      <c r="K341" s="121"/>
      <c r="L341" s="121"/>
      <c r="M341" s="121"/>
      <c r="N341" s="121"/>
      <c r="O341" s="121"/>
      <c r="P341" s="121"/>
      <c r="Q341" s="121"/>
    </row>
    <row r="342" spans="1:18">
      <c r="A342" s="81"/>
      <c r="B342" s="110"/>
      <c r="C342" s="114"/>
      <c r="D342" s="114"/>
      <c r="E342" s="114"/>
      <c r="F342" s="121"/>
      <c r="G342" s="121"/>
      <c r="H342" s="121"/>
      <c r="I342" s="121"/>
      <c r="J342" s="121"/>
      <c r="K342" s="121"/>
      <c r="L342" s="121"/>
      <c r="M342" s="121"/>
      <c r="N342" s="121"/>
      <c r="O342" s="121"/>
      <c r="P342" s="121"/>
      <c r="Q342" s="121"/>
    </row>
    <row r="343" spans="1:18">
      <c r="A343" s="81"/>
      <c r="B343" s="110"/>
      <c r="C343" s="114"/>
      <c r="D343" s="114"/>
      <c r="E343" s="114"/>
      <c r="F343" s="121"/>
      <c r="G343" s="121"/>
      <c r="H343" s="121"/>
      <c r="I343" s="121"/>
      <c r="J343" s="121"/>
      <c r="K343" s="121"/>
      <c r="L343" s="121"/>
      <c r="M343" s="121"/>
      <c r="N343" s="121"/>
      <c r="O343" s="121"/>
      <c r="P343" s="121"/>
      <c r="Q343" s="121"/>
    </row>
    <row r="344" spans="1:18">
      <c r="A344" s="81"/>
      <c r="B344" s="121"/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  <c r="M344" s="121"/>
      <c r="N344" s="121"/>
      <c r="O344" s="121"/>
      <c r="P344" s="121"/>
      <c r="Q344" s="121"/>
    </row>
    <row r="345" spans="1:18">
      <c r="A345" s="3"/>
      <c r="B345" s="105"/>
      <c r="C345" s="105"/>
      <c r="D345" s="105"/>
      <c r="E345" s="105"/>
      <c r="F345" s="105"/>
      <c r="G345" s="105"/>
      <c r="H345" s="105"/>
      <c r="I345" s="105"/>
      <c r="J345" s="105"/>
      <c r="K345" s="105"/>
      <c r="L345" s="105"/>
      <c r="M345" s="105"/>
      <c r="N345" s="105"/>
      <c r="O345" s="105"/>
      <c r="P345" s="105"/>
      <c r="Q345" s="105"/>
    </row>
    <row r="346" spans="1:18">
      <c r="A346" s="3"/>
      <c r="B346" s="105"/>
      <c r="C346" s="105"/>
      <c r="D346" s="105"/>
      <c r="E346" s="105"/>
      <c r="F346" s="105"/>
      <c r="G346" s="105"/>
      <c r="H346" s="105"/>
      <c r="I346" s="105"/>
      <c r="J346" s="105"/>
      <c r="K346" s="105"/>
      <c r="L346" s="105"/>
      <c r="M346" s="105"/>
      <c r="N346" s="105"/>
      <c r="O346" s="105"/>
      <c r="P346" s="105"/>
      <c r="Q346" s="105"/>
      <c r="R346" s="1"/>
    </row>
    <row r="347" spans="1:18">
      <c r="A347" s="3"/>
      <c r="B347" s="349"/>
      <c r="C347" s="349"/>
      <c r="D347" s="349"/>
      <c r="E347" s="349"/>
      <c r="F347" s="349"/>
      <c r="G347" s="349"/>
      <c r="H347" s="349"/>
      <c r="I347" s="105"/>
      <c r="J347" s="105"/>
      <c r="K347" s="105"/>
      <c r="L347" s="105"/>
      <c r="M347" s="105"/>
      <c r="N347" s="105"/>
      <c r="O347" s="105"/>
      <c r="P347" s="105"/>
      <c r="Q347" s="105"/>
      <c r="R347" s="1"/>
    </row>
    <row r="348" spans="1:18">
      <c r="A348" s="3"/>
      <c r="B348" s="105"/>
      <c r="C348" s="105"/>
      <c r="D348" s="105"/>
      <c r="E348" s="105"/>
      <c r="F348" s="105"/>
      <c r="G348" s="105"/>
      <c r="H348" s="105"/>
      <c r="I348" s="105"/>
      <c r="J348" s="105"/>
      <c r="K348" s="210"/>
      <c r="L348" s="210"/>
      <c r="M348" s="210"/>
      <c r="N348" s="210"/>
      <c r="O348" s="210"/>
      <c r="P348" s="210"/>
      <c r="Q348" s="210"/>
      <c r="R348" s="1"/>
    </row>
    <row r="349" spans="1:18">
      <c r="A349" s="3"/>
      <c r="B349" s="105"/>
      <c r="C349" s="105"/>
      <c r="D349" s="105"/>
      <c r="E349" s="105"/>
      <c r="F349" s="105"/>
      <c r="G349" s="105"/>
      <c r="H349" s="105"/>
      <c r="I349" s="105"/>
      <c r="J349" s="105"/>
      <c r="K349" s="210"/>
      <c r="L349" s="210"/>
      <c r="M349" s="210"/>
      <c r="N349" s="210"/>
      <c r="O349" s="210"/>
      <c r="P349" s="210"/>
      <c r="Q349" s="210"/>
      <c r="R349" s="1"/>
    </row>
    <row r="350" spans="1:18">
      <c r="A350" s="3"/>
      <c r="B350" s="105"/>
      <c r="C350" s="105"/>
      <c r="D350" s="105"/>
      <c r="E350" s="105"/>
      <c r="F350" s="105"/>
      <c r="G350" s="105"/>
      <c r="H350" s="105"/>
      <c r="I350" s="105"/>
      <c r="J350" s="105"/>
      <c r="K350" s="211"/>
      <c r="L350" s="210"/>
      <c r="M350" s="210"/>
      <c r="N350" s="210"/>
      <c r="O350" s="210"/>
      <c r="P350" s="210"/>
      <c r="Q350" s="210"/>
      <c r="R350" s="1"/>
    </row>
    <row r="351" spans="1:18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1"/>
    </row>
    <row r="352" spans="1:18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1"/>
    </row>
    <row r="353" spans="1:18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1"/>
    </row>
    <row r="354" spans="1:18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1"/>
    </row>
    <row r="355" spans="1:18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1"/>
    </row>
    <row r="356" spans="1:18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1"/>
    </row>
    <row r="357" spans="1:18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1"/>
    </row>
    <row r="358" spans="1:1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1"/>
    </row>
    <row r="359" spans="1:18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1"/>
    </row>
    <row r="360" spans="1:18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1"/>
    </row>
    <row r="361" spans="1:18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1"/>
    </row>
    <row r="362" spans="1:18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1"/>
    </row>
    <row r="363" spans="1:18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1"/>
    </row>
    <row r="364" spans="1:18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1"/>
    </row>
    <row r="365" spans="1:18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1"/>
    </row>
    <row r="366" spans="1:18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1"/>
    </row>
    <row r="367" spans="1:18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1"/>
    </row>
    <row r="368" spans="1:1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1"/>
    </row>
    <row r="369" spans="1:18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1"/>
    </row>
    <row r="370" spans="1:18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1"/>
    </row>
    <row r="371" spans="1:18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1"/>
    </row>
    <row r="372" spans="1:18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1"/>
    </row>
    <row r="373" spans="1:18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1"/>
    </row>
    <row r="374" spans="1:18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1"/>
    </row>
    <row r="375" spans="1:18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1"/>
    </row>
    <row r="376" spans="1:18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1"/>
    </row>
    <row r="377" spans="1:18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1"/>
    </row>
    <row r="378" spans="1:1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1"/>
    </row>
    <row r="379" spans="1:18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1"/>
    </row>
    <row r="380" spans="1:18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1"/>
    </row>
    <row r="381" spans="1:18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1"/>
    </row>
    <row r="382" spans="1:18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1"/>
    </row>
    <row r="383" spans="1:18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1"/>
    </row>
    <row r="384" spans="1:18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1"/>
    </row>
    <row r="385" spans="18:18">
      <c r="R385" s="1"/>
    </row>
    <row r="386" spans="18:18">
      <c r="R386" s="1"/>
    </row>
    <row r="387" spans="18:18">
      <c r="R387" s="1"/>
    </row>
    <row r="388" spans="18:18">
      <c r="R388" s="1"/>
    </row>
    <row r="389" spans="18:18">
      <c r="R389" s="1"/>
    </row>
    <row r="390" spans="18:18">
      <c r="R390" s="1"/>
    </row>
    <row r="391" spans="18:18">
      <c r="R391" s="1"/>
    </row>
    <row r="392" spans="18:18">
      <c r="R392" s="1"/>
    </row>
    <row r="393" spans="18:18">
      <c r="R393" s="1"/>
    </row>
    <row r="394" spans="18:18">
      <c r="R394" s="1"/>
    </row>
    <row r="395" spans="18:18">
      <c r="R395" s="1"/>
    </row>
    <row r="396" spans="18:18">
      <c r="R396" s="1"/>
    </row>
  </sheetData>
  <mergeCells count="384">
    <mergeCell ref="A264:C264"/>
    <mergeCell ref="A265:C265"/>
    <mergeCell ref="B74:F74"/>
    <mergeCell ref="K74:L74"/>
    <mergeCell ref="H75:I75"/>
    <mergeCell ref="H76:I76"/>
    <mergeCell ref="H77:I77"/>
    <mergeCell ref="B193:F193"/>
    <mergeCell ref="H193:I193"/>
    <mergeCell ref="H123:I123"/>
    <mergeCell ref="H124:I124"/>
    <mergeCell ref="H125:I125"/>
    <mergeCell ref="H189:I189"/>
    <mergeCell ref="H190:I190"/>
    <mergeCell ref="H191:I191"/>
    <mergeCell ref="A229:A230"/>
    <mergeCell ref="B233:F233"/>
    <mergeCell ref="H233:I233"/>
    <mergeCell ref="J233:N233"/>
    <mergeCell ref="B240:F240"/>
    <mergeCell ref="H240:I240"/>
    <mergeCell ref="J240:N240"/>
    <mergeCell ref="J237:N237"/>
    <mergeCell ref="B127:F127"/>
    <mergeCell ref="B208:F208"/>
    <mergeCell ref="H208:I208"/>
    <mergeCell ref="N209:P209"/>
    <mergeCell ref="B246:F246"/>
    <mergeCell ref="H246:I246"/>
    <mergeCell ref="B231:F231"/>
    <mergeCell ref="H231:I231"/>
    <mergeCell ref="O231:P231"/>
    <mergeCell ref="J231:N231"/>
    <mergeCell ref="H232:I232"/>
    <mergeCell ref="J232:N232"/>
    <mergeCell ref="O232:P232"/>
    <mergeCell ref="B244:F244"/>
    <mergeCell ref="H244:I244"/>
    <mergeCell ref="J244:N244"/>
    <mergeCell ref="O244:P244"/>
    <mergeCell ref="O233:P233"/>
    <mergeCell ref="J234:N234"/>
    <mergeCell ref="O234:P234"/>
    <mergeCell ref="B232:F232"/>
    <mergeCell ref="J238:N238"/>
    <mergeCell ref="H127:I127"/>
    <mergeCell ref="N129:P129"/>
    <mergeCell ref="N130:P130"/>
    <mergeCell ref="N131:P131"/>
    <mergeCell ref="B139:F139"/>
    <mergeCell ref="K139:L139"/>
    <mergeCell ref="H140:I140"/>
    <mergeCell ref="H141:I141"/>
    <mergeCell ref="B203:F203"/>
    <mergeCell ref="K203:L203"/>
    <mergeCell ref="N194:P194"/>
    <mergeCell ref="N195:P195"/>
    <mergeCell ref="K156:L156"/>
    <mergeCell ref="N162:P162"/>
    <mergeCell ref="K171:L171"/>
    <mergeCell ref="N177:P177"/>
    <mergeCell ref="H204:I204"/>
    <mergeCell ref="H205:I205"/>
    <mergeCell ref="H206:I206"/>
    <mergeCell ref="B144:F144"/>
    <mergeCell ref="B156:F156"/>
    <mergeCell ref="B161:F161"/>
    <mergeCell ref="B171:F171"/>
    <mergeCell ref="H172:I172"/>
    <mergeCell ref="H173:I173"/>
    <mergeCell ref="H144:I144"/>
    <mergeCell ref="H157:I157"/>
    <mergeCell ref="H158:I158"/>
    <mergeCell ref="B122:F122"/>
    <mergeCell ref="K122:L122"/>
    <mergeCell ref="Q47:Q59"/>
    <mergeCell ref="N48:P48"/>
    <mergeCell ref="N49:P49"/>
    <mergeCell ref="N50:P50"/>
    <mergeCell ref="Q80:Q88"/>
    <mergeCell ref="N81:P81"/>
    <mergeCell ref="N82:P82"/>
    <mergeCell ref="N83:P83"/>
    <mergeCell ref="B107:F107"/>
    <mergeCell ref="K107:L107"/>
    <mergeCell ref="B94:F94"/>
    <mergeCell ref="H94:I94"/>
    <mergeCell ref="N95:P95"/>
    <mergeCell ref="Q95:Q106"/>
    <mergeCell ref="N96:P96"/>
    <mergeCell ref="N97:P97"/>
    <mergeCell ref="N98:P98"/>
    <mergeCell ref="B65:F65"/>
    <mergeCell ref="B112:F112"/>
    <mergeCell ref="Q162:Q170"/>
    <mergeCell ref="N163:P163"/>
    <mergeCell ref="N164:P164"/>
    <mergeCell ref="N165:P165"/>
    <mergeCell ref="H159:I159"/>
    <mergeCell ref="H161:I161"/>
    <mergeCell ref="N66:P66"/>
    <mergeCell ref="Q66:Q73"/>
    <mergeCell ref="N67:P67"/>
    <mergeCell ref="N68:P68"/>
    <mergeCell ref="N69:P69"/>
    <mergeCell ref="N146:P146"/>
    <mergeCell ref="N147:P147"/>
    <mergeCell ref="N148:P148"/>
    <mergeCell ref="Q113:Q121"/>
    <mergeCell ref="N114:P114"/>
    <mergeCell ref="N115:P115"/>
    <mergeCell ref="N116:P116"/>
    <mergeCell ref="N128:P128"/>
    <mergeCell ref="Q128:Q138"/>
    <mergeCell ref="H108:I108"/>
    <mergeCell ref="H109:I109"/>
    <mergeCell ref="H110:I110"/>
    <mergeCell ref="N145:P145"/>
    <mergeCell ref="Q194:Q202"/>
    <mergeCell ref="N196:P196"/>
    <mergeCell ref="N197:P197"/>
    <mergeCell ref="J235:N235"/>
    <mergeCell ref="O235:P235"/>
    <mergeCell ref="J236:N236"/>
    <mergeCell ref="B21:F21"/>
    <mergeCell ref="K21:L21"/>
    <mergeCell ref="B347:H347"/>
    <mergeCell ref="H44:I44"/>
    <mergeCell ref="N27:P27"/>
    <mergeCell ref="Q27:Q40"/>
    <mergeCell ref="N28:P28"/>
    <mergeCell ref="N29:P29"/>
    <mergeCell ref="N30:P30"/>
    <mergeCell ref="H112:I112"/>
    <mergeCell ref="N113:P113"/>
    <mergeCell ref="K41:L41"/>
    <mergeCell ref="K60:L60"/>
    <mergeCell ref="N47:P47"/>
    <mergeCell ref="K89:L89"/>
    <mergeCell ref="B79:F79"/>
    <mergeCell ref="H79:I79"/>
    <mergeCell ref="N80:P80"/>
    <mergeCell ref="Q145:Q155"/>
    <mergeCell ref="H65:I65"/>
    <mergeCell ref="N10:P10"/>
    <mergeCell ref="Q2:Q6"/>
    <mergeCell ref="M2:P2"/>
    <mergeCell ref="B2:B6"/>
    <mergeCell ref="C2:F2"/>
    <mergeCell ref="G2:L2"/>
    <mergeCell ref="C3:C6"/>
    <mergeCell ref="K3:K6"/>
    <mergeCell ref="M3:M6"/>
    <mergeCell ref="O3:O6"/>
    <mergeCell ref="J3:J6"/>
    <mergeCell ref="F3:F6"/>
    <mergeCell ref="D3:D6"/>
    <mergeCell ref="G3:G6"/>
    <mergeCell ref="I3:I6"/>
    <mergeCell ref="H3:H6"/>
    <mergeCell ref="P3:P6"/>
    <mergeCell ref="N3:N6"/>
    <mergeCell ref="L3:L6"/>
    <mergeCell ref="Q10:Q20"/>
    <mergeCell ref="N12:P12"/>
    <mergeCell ref="N13:P13"/>
    <mergeCell ref="N11:P11"/>
    <mergeCell ref="A2:A6"/>
    <mergeCell ref="E3:E6"/>
    <mergeCell ref="H22:I22"/>
    <mergeCell ref="H142:I142"/>
    <mergeCell ref="H9:I9"/>
    <mergeCell ref="B9:F9"/>
    <mergeCell ref="B41:F41"/>
    <mergeCell ref="H42:I42"/>
    <mergeCell ref="H43:I43"/>
    <mergeCell ref="B60:F60"/>
    <mergeCell ref="H61:I61"/>
    <mergeCell ref="H62:I62"/>
    <mergeCell ref="H63:I63"/>
    <mergeCell ref="B46:F46"/>
    <mergeCell ref="H46:I46"/>
    <mergeCell ref="B89:F89"/>
    <mergeCell ref="H90:I90"/>
    <mergeCell ref="H91:I91"/>
    <mergeCell ref="H92:I92"/>
    <mergeCell ref="H24:I24"/>
    <mergeCell ref="H23:I23"/>
    <mergeCell ref="B26:F26"/>
    <mergeCell ref="H26:I26"/>
    <mergeCell ref="Q177:Q187"/>
    <mergeCell ref="N178:P178"/>
    <mergeCell ref="N179:P179"/>
    <mergeCell ref="N180:P180"/>
    <mergeCell ref="H174:I174"/>
    <mergeCell ref="B176:F176"/>
    <mergeCell ref="H176:I176"/>
    <mergeCell ref="B188:F188"/>
    <mergeCell ref="K188:L188"/>
    <mergeCell ref="Q209:Q221"/>
    <mergeCell ref="N210:P210"/>
    <mergeCell ref="N211:P211"/>
    <mergeCell ref="N212:P212"/>
    <mergeCell ref="B222:F222"/>
    <mergeCell ref="K222:L222"/>
    <mergeCell ref="O230:P230"/>
    <mergeCell ref="J230:N230"/>
    <mergeCell ref="H229:I230"/>
    <mergeCell ref="G229:G230"/>
    <mergeCell ref="B229:F230"/>
    <mergeCell ref="H223:I223"/>
    <mergeCell ref="H224:I224"/>
    <mergeCell ref="H225:I225"/>
    <mergeCell ref="J229:Q229"/>
    <mergeCell ref="O238:P238"/>
    <mergeCell ref="H239:I239"/>
    <mergeCell ref="J239:N239"/>
    <mergeCell ref="O239:P239"/>
    <mergeCell ref="B234:F234"/>
    <mergeCell ref="H234:I234"/>
    <mergeCell ref="B241:F241"/>
    <mergeCell ref="H241:I241"/>
    <mergeCell ref="B235:F235"/>
    <mergeCell ref="H235:I235"/>
    <mergeCell ref="B236:F236"/>
    <mergeCell ref="H236:I236"/>
    <mergeCell ref="O236:P236"/>
    <mergeCell ref="B237:F237"/>
    <mergeCell ref="H237:I237"/>
    <mergeCell ref="O237:P237"/>
    <mergeCell ref="B238:F238"/>
    <mergeCell ref="H238:I238"/>
    <mergeCell ref="F264:G264"/>
    <mergeCell ref="H264:I264"/>
    <mergeCell ref="F265:G265"/>
    <mergeCell ref="H265:I265"/>
    <mergeCell ref="F266:G266"/>
    <mergeCell ref="H266:I266"/>
    <mergeCell ref="F267:G267"/>
    <mergeCell ref="H267:I267"/>
    <mergeCell ref="F268:G268"/>
    <mergeCell ref="H268:I268"/>
    <mergeCell ref="G279:I279"/>
    <mergeCell ref="I280:M280"/>
    <mergeCell ref="F269:G269"/>
    <mergeCell ref="H269:I269"/>
    <mergeCell ref="F270:G270"/>
    <mergeCell ref="H270:I270"/>
    <mergeCell ref="F271:G271"/>
    <mergeCell ref="H271:I271"/>
    <mergeCell ref="F272:G272"/>
    <mergeCell ref="H272:I272"/>
    <mergeCell ref="F273:G273"/>
    <mergeCell ref="H273:I273"/>
    <mergeCell ref="A261:C261"/>
    <mergeCell ref="C291:E291"/>
    <mergeCell ref="G291:Q291"/>
    <mergeCell ref="I292:M292"/>
    <mergeCell ref="I293:M293"/>
    <mergeCell ref="I294:M294"/>
    <mergeCell ref="I295:M295"/>
    <mergeCell ref="E297:Q297"/>
    <mergeCell ref="I289:M289"/>
    <mergeCell ref="I281:M281"/>
    <mergeCell ref="I282:M282"/>
    <mergeCell ref="I283:M283"/>
    <mergeCell ref="C279:E279"/>
    <mergeCell ref="C285:E285"/>
    <mergeCell ref="G285:J285"/>
    <mergeCell ref="I286:M286"/>
    <mergeCell ref="I287:M287"/>
    <mergeCell ref="I288:M288"/>
    <mergeCell ref="F274:G274"/>
    <mergeCell ref="H274:I274"/>
    <mergeCell ref="F275:G275"/>
    <mergeCell ref="H275:I275"/>
    <mergeCell ref="F263:I263"/>
    <mergeCell ref="B277:D277"/>
    <mergeCell ref="I299:M299"/>
    <mergeCell ref="E305:Q305"/>
    <mergeCell ref="G306:Q306"/>
    <mergeCell ref="G307:Q307"/>
    <mergeCell ref="E308:Q308"/>
    <mergeCell ref="C313:E313"/>
    <mergeCell ref="G313:J313"/>
    <mergeCell ref="I314:M314"/>
    <mergeCell ref="I315:M315"/>
    <mergeCell ref="N314:O314"/>
    <mergeCell ref="N315:O315"/>
    <mergeCell ref="F330:H331"/>
    <mergeCell ref="C330:E331"/>
    <mergeCell ref="E316:G316"/>
    <mergeCell ref="G317:J317"/>
    <mergeCell ref="I318:M318"/>
    <mergeCell ref="J319:O319"/>
    <mergeCell ref="J320:O320"/>
    <mergeCell ref="J321:O321"/>
    <mergeCell ref="I322:M322"/>
    <mergeCell ref="G324:J324"/>
    <mergeCell ref="I325:M325"/>
    <mergeCell ref="N325:Q325"/>
    <mergeCell ref="I334:J334"/>
    <mergeCell ref="K334:L334"/>
    <mergeCell ref="M334:O334"/>
    <mergeCell ref="I326:M326"/>
    <mergeCell ref="I327:M327"/>
    <mergeCell ref="I328:M328"/>
    <mergeCell ref="N327:O327"/>
    <mergeCell ref="K331:L331"/>
    <mergeCell ref="M331:O331"/>
    <mergeCell ref="K330:O330"/>
    <mergeCell ref="I330:J331"/>
    <mergeCell ref="E339:O339"/>
    <mergeCell ref="E340:O340"/>
    <mergeCell ref="D339:D340"/>
    <mergeCell ref="I296:M296"/>
    <mergeCell ref="H295:H296"/>
    <mergeCell ref="C249:E249"/>
    <mergeCell ref="H249:J249"/>
    <mergeCell ref="M249:O249"/>
    <mergeCell ref="C250:E250"/>
    <mergeCell ref="H250:J250"/>
    <mergeCell ref="M250:O250"/>
    <mergeCell ref="C251:E251"/>
    <mergeCell ref="H251:J251"/>
    <mergeCell ref="M251:O251"/>
    <mergeCell ref="C252:E252"/>
    <mergeCell ref="H252:J252"/>
    <mergeCell ref="M252:O252"/>
    <mergeCell ref="C253:E253"/>
    <mergeCell ref="H253:J253"/>
    <mergeCell ref="M253:O253"/>
    <mergeCell ref="C254:E254"/>
    <mergeCell ref="H254:J254"/>
    <mergeCell ref="F335:H335"/>
    <mergeCell ref="I335:J335"/>
    <mergeCell ref="K257:Q257"/>
    <mergeCell ref="K258:Q258"/>
    <mergeCell ref="K259:Q259"/>
    <mergeCell ref="C332:E334"/>
    <mergeCell ref="C335:E337"/>
    <mergeCell ref="K335:L335"/>
    <mergeCell ref="M335:O335"/>
    <mergeCell ref="F336:H336"/>
    <mergeCell ref="I336:J336"/>
    <mergeCell ref="K336:L336"/>
    <mergeCell ref="M336:O336"/>
    <mergeCell ref="F337:H337"/>
    <mergeCell ref="I337:J337"/>
    <mergeCell ref="K337:L337"/>
    <mergeCell ref="M337:O337"/>
    <mergeCell ref="F332:H332"/>
    <mergeCell ref="I332:J332"/>
    <mergeCell ref="K332:L332"/>
    <mergeCell ref="M332:O332"/>
    <mergeCell ref="F333:H333"/>
    <mergeCell ref="I333:J333"/>
    <mergeCell ref="K333:L333"/>
    <mergeCell ref="M333:O333"/>
    <mergeCell ref="F334:H334"/>
    <mergeCell ref="M254:O254"/>
    <mergeCell ref="C255:E255"/>
    <mergeCell ref="H255:J255"/>
    <mergeCell ref="M255:O255"/>
    <mergeCell ref="J241:N241"/>
    <mergeCell ref="O241:P241"/>
    <mergeCell ref="B239:F239"/>
    <mergeCell ref="B245:F245"/>
    <mergeCell ref="H245:I245"/>
    <mergeCell ref="J245:N245"/>
    <mergeCell ref="O245:P245"/>
    <mergeCell ref="B247:F247"/>
    <mergeCell ref="H247:I247"/>
    <mergeCell ref="J247:N247"/>
    <mergeCell ref="O247:P247"/>
    <mergeCell ref="B242:F242"/>
    <mergeCell ref="H242:I242"/>
    <mergeCell ref="J242:N242"/>
    <mergeCell ref="O240:P240"/>
    <mergeCell ref="O242:P242"/>
    <mergeCell ref="B243:F243"/>
    <mergeCell ref="H243:I243"/>
    <mergeCell ref="J243:N243"/>
    <mergeCell ref="O243:P243"/>
  </mergeCells>
  <phoneticPr fontId="0" type="noConversion"/>
  <pageMargins left="0.59055118110236227" right="0.59055118110236227" top="0.78740157480314965" bottom="0.59055118110236227" header="0.51181102362204722" footer="0.51181102362204722"/>
  <pageSetup paperSize="9" orientation="portrait" horizontalDpi="180" verticalDpi="180" r:id="rId1"/>
  <headerFooter alignWithMargins="0">
    <oddHeader>&amp;L&amp;8&amp;G&amp;R&amp;8Výpočet tepelných ztrát - CM Havl. Brod - stř. Herálec</oddHeader>
    <oddFooter>&amp;C&amp;8Strana &amp;P z &amp;N</oddFooter>
  </headerFooter>
  <legacyDrawing r:id="rId2"/>
  <legacyDrawingHF r:id="rId3"/>
  <oleObjects>
    <oleObject progId="Equation.3" shapeId="1025" r:id="rId4"/>
    <oleObject progId="Equation.3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K122"/>
  <sheetViews>
    <sheetView zoomScale="80" zoomScaleNormal="80" workbookViewId="0">
      <selection activeCell="D123" sqref="D123"/>
    </sheetView>
  </sheetViews>
  <sheetFormatPr defaultRowHeight="12.75"/>
  <cols>
    <col min="1" max="1" width="8.42578125" customWidth="1"/>
    <col min="2" max="2" width="4.7109375" customWidth="1"/>
    <col min="4" max="4" width="10" customWidth="1"/>
    <col min="7" max="7" width="10.85546875" bestFit="1" customWidth="1"/>
    <col min="8" max="8" width="9.85546875" bestFit="1" customWidth="1"/>
  </cols>
  <sheetData>
    <row r="1" spans="1:11">
      <c r="A1" s="399"/>
      <c r="B1" s="399"/>
      <c r="C1" s="399"/>
      <c r="D1" s="399"/>
      <c r="E1" s="399"/>
      <c r="F1" s="399"/>
      <c r="G1" s="399"/>
      <c r="H1" s="399"/>
      <c r="I1" s="399"/>
      <c r="J1" s="399"/>
      <c r="K1" s="399"/>
    </row>
    <row r="2" spans="1:11" ht="25.5">
      <c r="A2" s="395" t="s">
        <v>207</v>
      </c>
      <c r="B2" s="406"/>
      <c r="C2" s="407"/>
      <c r="D2" s="407"/>
      <c r="E2" s="407"/>
      <c r="F2" s="407"/>
      <c r="G2" s="160" t="s">
        <v>169</v>
      </c>
      <c r="H2" s="160" t="s">
        <v>168</v>
      </c>
      <c r="I2" s="160" t="s">
        <v>163</v>
      </c>
      <c r="J2" s="161" t="s">
        <v>164</v>
      </c>
      <c r="K2" s="162" t="s">
        <v>165</v>
      </c>
    </row>
    <row r="3" spans="1:11">
      <c r="A3" s="385"/>
      <c r="B3" s="409" t="s">
        <v>166</v>
      </c>
      <c r="C3" s="365" t="s">
        <v>313</v>
      </c>
      <c r="D3" s="365"/>
      <c r="E3" s="365"/>
      <c r="F3" s="365"/>
      <c r="G3" s="156" t="s">
        <v>170</v>
      </c>
      <c r="H3" s="157">
        <v>1</v>
      </c>
      <c r="I3" s="158">
        <v>76000</v>
      </c>
      <c r="J3" s="158">
        <f>H3*I3</f>
        <v>76000</v>
      </c>
      <c r="K3" s="159">
        <f>J3*1.2</f>
        <v>91200</v>
      </c>
    </row>
    <row r="4" spans="1:11">
      <c r="A4" s="385"/>
      <c r="B4" s="410"/>
      <c r="C4" s="242" t="s">
        <v>157</v>
      </c>
      <c r="D4" s="242"/>
      <c r="E4" s="242"/>
      <c r="F4" s="242"/>
      <c r="G4" s="147" t="s">
        <v>171</v>
      </c>
      <c r="H4" s="148">
        <v>1</v>
      </c>
      <c r="I4" s="149">
        <v>85000</v>
      </c>
      <c r="J4" s="149">
        <f t="shared" ref="J4:J9" si="0">H4*I4</f>
        <v>85000</v>
      </c>
      <c r="K4" s="150">
        <f t="shared" ref="K4:K9" si="1">J4*1.2</f>
        <v>102000</v>
      </c>
    </row>
    <row r="5" spans="1:11">
      <c r="A5" s="385"/>
      <c r="B5" s="410"/>
      <c r="C5" s="242" t="s">
        <v>158</v>
      </c>
      <c r="D5" s="242"/>
      <c r="E5" s="242"/>
      <c r="F5" s="242"/>
      <c r="G5" s="147" t="s">
        <v>172</v>
      </c>
      <c r="H5" s="148">
        <v>34.5</v>
      </c>
      <c r="I5" s="149">
        <v>1200</v>
      </c>
      <c r="J5" s="149">
        <f t="shared" si="0"/>
        <v>41400</v>
      </c>
      <c r="K5" s="150">
        <f t="shared" si="1"/>
        <v>49680</v>
      </c>
    </row>
    <row r="6" spans="1:11">
      <c r="A6" s="385"/>
      <c r="B6" s="410"/>
      <c r="C6" s="400" t="s">
        <v>159</v>
      </c>
      <c r="D6" s="400"/>
      <c r="E6" s="400"/>
      <c r="F6" s="400"/>
      <c r="G6" s="151" t="s">
        <v>170</v>
      </c>
      <c r="H6" s="148">
        <v>2</v>
      </c>
      <c r="I6" s="149">
        <v>1900</v>
      </c>
      <c r="J6" s="149">
        <f t="shared" si="0"/>
        <v>3800</v>
      </c>
      <c r="K6" s="150">
        <f t="shared" si="1"/>
        <v>4560</v>
      </c>
    </row>
    <row r="7" spans="1:11">
      <c r="A7" s="385"/>
      <c r="B7" s="410"/>
      <c r="C7" s="400" t="s">
        <v>160</v>
      </c>
      <c r="D7" s="400"/>
      <c r="E7" s="400"/>
      <c r="F7" s="400"/>
      <c r="G7" s="151" t="s">
        <v>170</v>
      </c>
      <c r="H7" s="148">
        <v>1</v>
      </c>
      <c r="I7" s="149">
        <v>7500</v>
      </c>
      <c r="J7" s="149">
        <f t="shared" si="0"/>
        <v>7500</v>
      </c>
      <c r="K7" s="150">
        <f t="shared" si="1"/>
        <v>9000</v>
      </c>
    </row>
    <row r="8" spans="1:11">
      <c r="A8" s="385"/>
      <c r="B8" s="410"/>
      <c r="C8" s="400" t="s">
        <v>161</v>
      </c>
      <c r="D8" s="400"/>
      <c r="E8" s="400"/>
      <c r="F8" s="400"/>
      <c r="G8" s="151" t="s">
        <v>171</v>
      </c>
      <c r="H8" s="148">
        <v>1</v>
      </c>
      <c r="I8" s="149">
        <v>12000</v>
      </c>
      <c r="J8" s="149">
        <f t="shared" si="0"/>
        <v>12000</v>
      </c>
      <c r="K8" s="150">
        <f t="shared" si="1"/>
        <v>14400</v>
      </c>
    </row>
    <row r="9" spans="1:11">
      <c r="A9" s="385"/>
      <c r="B9" s="411"/>
      <c r="C9" s="363" t="s">
        <v>162</v>
      </c>
      <c r="D9" s="363"/>
      <c r="E9" s="363"/>
      <c r="F9" s="363"/>
      <c r="G9" s="152" t="s">
        <v>171</v>
      </c>
      <c r="H9" s="153">
        <v>1</v>
      </c>
      <c r="I9" s="154">
        <v>15000</v>
      </c>
      <c r="J9" s="154">
        <f t="shared" si="0"/>
        <v>15000</v>
      </c>
      <c r="K9" s="155">
        <f t="shared" si="1"/>
        <v>18000</v>
      </c>
    </row>
    <row r="10" spans="1:11">
      <c r="A10" s="385"/>
      <c r="C10" s="244"/>
      <c r="D10" s="244"/>
      <c r="E10" s="244"/>
      <c r="F10" s="244"/>
      <c r="G10" s="113"/>
      <c r="J10" s="139">
        <f>SUM(J3:J9)</f>
        <v>240700</v>
      </c>
      <c r="K10" s="163">
        <f>SUM(K3:K9)</f>
        <v>288840</v>
      </c>
    </row>
    <row r="11" spans="1:11">
      <c r="A11" s="385"/>
      <c r="C11" s="113"/>
      <c r="D11" s="113"/>
      <c r="E11" s="113"/>
      <c r="F11" s="113"/>
      <c r="G11" s="113"/>
      <c r="J11" s="139"/>
      <c r="K11" s="140"/>
    </row>
    <row r="12" spans="1:11" ht="25.5">
      <c r="A12" s="385"/>
      <c r="B12" s="408"/>
      <c r="C12" s="377"/>
      <c r="D12" s="377"/>
      <c r="E12" s="377"/>
      <c r="F12" s="377"/>
      <c r="G12" s="144" t="s">
        <v>169</v>
      </c>
      <c r="H12" s="144" t="s">
        <v>168</v>
      </c>
      <c r="I12" s="144" t="s">
        <v>163</v>
      </c>
      <c r="J12" s="145" t="s">
        <v>164</v>
      </c>
      <c r="K12" s="146" t="s">
        <v>165</v>
      </c>
    </row>
    <row r="13" spans="1:11">
      <c r="A13" s="385"/>
      <c r="B13" s="410" t="s">
        <v>181</v>
      </c>
      <c r="C13" s="400" t="s">
        <v>167</v>
      </c>
      <c r="D13" s="400"/>
      <c r="E13" s="400"/>
      <c r="F13" s="400"/>
      <c r="G13" s="151" t="s">
        <v>174</v>
      </c>
      <c r="H13" s="148">
        <v>50.4</v>
      </c>
      <c r="I13" s="149">
        <v>590</v>
      </c>
      <c r="J13" s="149">
        <f>H13*I13</f>
        <v>29736</v>
      </c>
      <c r="K13" s="150">
        <f>J13*1.2</f>
        <v>35683.199999999997</v>
      </c>
    </row>
    <row r="14" spans="1:11">
      <c r="A14" s="385"/>
      <c r="B14" s="410"/>
      <c r="C14" s="400" t="s">
        <v>173</v>
      </c>
      <c r="D14" s="400"/>
      <c r="E14" s="400"/>
      <c r="F14" s="400"/>
      <c r="G14" s="151" t="s">
        <v>175</v>
      </c>
      <c r="H14" s="148">
        <v>144</v>
      </c>
      <c r="I14" s="149">
        <v>1400</v>
      </c>
      <c r="J14" s="149">
        <f t="shared" ref="J14:J20" si="2">H14*I14</f>
        <v>201600</v>
      </c>
      <c r="K14" s="150">
        <f t="shared" ref="K14:K21" si="3">J14*1.2</f>
        <v>241920</v>
      </c>
    </row>
    <row r="15" spans="1:11">
      <c r="A15" s="385"/>
      <c r="B15" s="410"/>
      <c r="C15" s="400" t="s">
        <v>182</v>
      </c>
      <c r="D15" s="400"/>
      <c r="E15" s="400"/>
      <c r="F15" s="400"/>
      <c r="G15" s="151" t="s">
        <v>175</v>
      </c>
      <c r="H15" s="148">
        <v>3</v>
      </c>
      <c r="I15" s="149">
        <v>1050</v>
      </c>
      <c r="J15" s="149">
        <f t="shared" ref="J15" si="4">H15*I15</f>
        <v>3150</v>
      </c>
      <c r="K15" s="150">
        <f t="shared" si="3"/>
        <v>3780</v>
      </c>
    </row>
    <row r="16" spans="1:11">
      <c r="A16" s="385"/>
      <c r="B16" s="410"/>
      <c r="C16" s="400" t="s">
        <v>176</v>
      </c>
      <c r="D16" s="400"/>
      <c r="E16" s="400"/>
      <c r="F16" s="400"/>
      <c r="G16" s="151" t="s">
        <v>174</v>
      </c>
      <c r="H16" s="148">
        <v>21</v>
      </c>
      <c r="I16" s="149">
        <f>95+480</f>
        <v>575</v>
      </c>
      <c r="J16" s="149">
        <f t="shared" si="2"/>
        <v>12075</v>
      </c>
      <c r="K16" s="150">
        <f t="shared" si="3"/>
        <v>14490</v>
      </c>
    </row>
    <row r="17" spans="1:11">
      <c r="A17" s="385"/>
      <c r="B17" s="410"/>
      <c r="C17" s="400" t="s">
        <v>177</v>
      </c>
      <c r="D17" s="400"/>
      <c r="E17" s="400"/>
      <c r="F17" s="400"/>
      <c r="G17" s="151" t="s">
        <v>174</v>
      </c>
      <c r="H17" s="148">
        <f>H13-H16</f>
        <v>29.4</v>
      </c>
      <c r="I17" s="149">
        <v>95</v>
      </c>
      <c r="J17" s="149">
        <f t="shared" si="2"/>
        <v>2793</v>
      </c>
      <c r="K17" s="150">
        <f t="shared" si="3"/>
        <v>3351.6</v>
      </c>
    </row>
    <row r="18" spans="1:11">
      <c r="A18" s="385"/>
      <c r="B18" s="410"/>
      <c r="C18" s="400" t="s">
        <v>178</v>
      </c>
      <c r="D18" s="400"/>
      <c r="E18" s="400"/>
      <c r="F18" s="400"/>
      <c r="G18" s="151" t="s">
        <v>171</v>
      </c>
      <c r="H18" s="148">
        <v>1</v>
      </c>
      <c r="I18" s="149">
        <v>5000</v>
      </c>
      <c r="J18" s="149">
        <f t="shared" si="2"/>
        <v>5000</v>
      </c>
      <c r="K18" s="150">
        <f t="shared" si="3"/>
        <v>6000</v>
      </c>
    </row>
    <row r="19" spans="1:11">
      <c r="A19" s="385"/>
      <c r="B19" s="410"/>
      <c r="C19" s="400" t="s">
        <v>179</v>
      </c>
      <c r="D19" s="400"/>
      <c r="E19" s="400"/>
      <c r="F19" s="400"/>
      <c r="G19" s="151" t="s">
        <v>171</v>
      </c>
      <c r="H19" s="148">
        <v>1</v>
      </c>
      <c r="I19" s="149">
        <v>5000</v>
      </c>
      <c r="J19" s="149">
        <f t="shared" si="2"/>
        <v>5000</v>
      </c>
      <c r="K19" s="150">
        <f t="shared" si="3"/>
        <v>6000</v>
      </c>
    </row>
    <row r="20" spans="1:11">
      <c r="A20" s="385"/>
      <c r="B20" s="411"/>
      <c r="C20" s="363" t="s">
        <v>180</v>
      </c>
      <c r="D20" s="363"/>
      <c r="E20" s="363"/>
      <c r="F20" s="363"/>
      <c r="G20" s="152" t="s">
        <v>171</v>
      </c>
      <c r="H20" s="153">
        <v>1</v>
      </c>
      <c r="I20" s="154">
        <v>5000</v>
      </c>
      <c r="J20" s="154">
        <f t="shared" si="2"/>
        <v>5000</v>
      </c>
      <c r="K20" s="155">
        <f t="shared" si="3"/>
        <v>6000</v>
      </c>
    </row>
    <row r="21" spans="1:11">
      <c r="A21" s="396"/>
      <c r="C21" s="244"/>
      <c r="D21" s="244"/>
      <c r="E21" s="244"/>
      <c r="F21" s="244"/>
      <c r="G21" s="113"/>
      <c r="J21" s="139">
        <f>SUM(J13:J20)</f>
        <v>264354</v>
      </c>
      <c r="K21" s="163">
        <f t="shared" si="3"/>
        <v>317224.8</v>
      </c>
    </row>
    <row r="24" spans="1:11">
      <c r="B24" s="401"/>
      <c r="C24" s="401"/>
      <c r="D24" s="401"/>
      <c r="E24" s="401"/>
      <c r="F24" s="401"/>
      <c r="G24" s="401"/>
      <c r="H24" s="401"/>
      <c r="I24" s="401"/>
      <c r="J24" s="401"/>
      <c r="K24" s="401"/>
    </row>
    <row r="25" spans="1:11" ht="25.5">
      <c r="A25" s="384" t="s">
        <v>208</v>
      </c>
      <c r="B25" s="406"/>
      <c r="C25" s="407"/>
      <c r="D25" s="407"/>
      <c r="E25" s="407"/>
      <c r="F25" s="407"/>
      <c r="G25" s="160" t="s">
        <v>169</v>
      </c>
      <c r="H25" s="160" t="s">
        <v>168</v>
      </c>
      <c r="I25" s="160" t="s">
        <v>163</v>
      </c>
      <c r="J25" s="161" t="s">
        <v>164</v>
      </c>
      <c r="K25" s="162" t="s">
        <v>165</v>
      </c>
    </row>
    <row r="26" spans="1:11">
      <c r="A26" s="397"/>
      <c r="B26" s="402" t="s">
        <v>195</v>
      </c>
      <c r="C26" s="365" t="s">
        <v>183</v>
      </c>
      <c r="D26" s="365"/>
      <c r="E26" s="365"/>
      <c r="F26" s="365"/>
      <c r="G26" s="156" t="s">
        <v>171</v>
      </c>
      <c r="H26" s="157">
        <v>1</v>
      </c>
      <c r="I26" s="158">
        <f>Tep_ztraty_Nocležna_III!U245</f>
        <v>77954.35000000002</v>
      </c>
      <c r="J26" s="158">
        <f>H26*I26</f>
        <v>77954.35000000002</v>
      </c>
      <c r="K26" s="159">
        <f>J26*1.2</f>
        <v>93545.220000000016</v>
      </c>
    </row>
    <row r="27" spans="1:11">
      <c r="A27" s="397"/>
      <c r="B27" s="403"/>
      <c r="C27" s="242" t="s">
        <v>184</v>
      </c>
      <c r="D27" s="242"/>
      <c r="E27" s="242"/>
      <c r="F27" s="242"/>
      <c r="G27" s="147" t="s">
        <v>175</v>
      </c>
      <c r="H27" s="148">
        <v>136</v>
      </c>
      <c r="I27" s="149">
        <v>241.75</v>
      </c>
      <c r="J27" s="149">
        <f t="shared" ref="J27:J37" si="5">H27*I27</f>
        <v>32878</v>
      </c>
      <c r="K27" s="150">
        <f t="shared" ref="K27:K38" si="6">J27*1.2</f>
        <v>39453.599999999999</v>
      </c>
    </row>
    <row r="28" spans="1:11">
      <c r="A28" s="397"/>
      <c r="B28" s="403"/>
      <c r="C28" s="242" t="s">
        <v>185</v>
      </c>
      <c r="D28" s="242"/>
      <c r="E28" s="242"/>
      <c r="F28" s="242"/>
      <c r="G28" s="147" t="s">
        <v>175</v>
      </c>
      <c r="H28" s="148">
        <v>30</v>
      </c>
      <c r="I28" s="149">
        <v>271.85000000000002</v>
      </c>
      <c r="J28" s="149">
        <f t="shared" si="5"/>
        <v>8155.5000000000009</v>
      </c>
      <c r="K28" s="150">
        <f t="shared" si="6"/>
        <v>9786.6</v>
      </c>
    </row>
    <row r="29" spans="1:11">
      <c r="A29" s="397"/>
      <c r="B29" s="403"/>
      <c r="C29" s="242" t="s">
        <v>186</v>
      </c>
      <c r="D29" s="242"/>
      <c r="E29" s="242"/>
      <c r="F29" s="242"/>
      <c r="G29" s="151" t="s">
        <v>175</v>
      </c>
      <c r="H29" s="148">
        <v>4</v>
      </c>
      <c r="I29" s="149">
        <v>299.29000000000002</v>
      </c>
      <c r="J29" s="149">
        <f t="shared" si="5"/>
        <v>1197.1600000000001</v>
      </c>
      <c r="K29" s="150">
        <f t="shared" si="6"/>
        <v>1436.5920000000001</v>
      </c>
    </row>
    <row r="30" spans="1:11">
      <c r="A30" s="397"/>
      <c r="B30" s="403"/>
      <c r="C30" s="400" t="s">
        <v>187</v>
      </c>
      <c r="D30" s="400"/>
      <c r="E30" s="400"/>
      <c r="F30" s="400"/>
      <c r="G30" s="151" t="s">
        <v>175</v>
      </c>
      <c r="H30" s="148">
        <f>H27</f>
        <v>136</v>
      </c>
      <c r="I30" s="149">
        <v>12.4</v>
      </c>
      <c r="J30" s="149">
        <f t="shared" si="5"/>
        <v>1686.4</v>
      </c>
      <c r="K30" s="150">
        <f t="shared" si="6"/>
        <v>2023.68</v>
      </c>
    </row>
    <row r="31" spans="1:11">
      <c r="A31" s="397"/>
      <c r="B31" s="403"/>
      <c r="C31" s="400" t="s">
        <v>188</v>
      </c>
      <c r="D31" s="400"/>
      <c r="E31" s="400"/>
      <c r="F31" s="400"/>
      <c r="G31" s="151" t="s">
        <v>175</v>
      </c>
      <c r="H31" s="148">
        <f>H28</f>
        <v>30</v>
      </c>
      <c r="I31" s="149">
        <v>15.4</v>
      </c>
      <c r="J31" s="149">
        <f t="shared" si="5"/>
        <v>462</v>
      </c>
      <c r="K31" s="150">
        <f t="shared" si="6"/>
        <v>554.4</v>
      </c>
    </row>
    <row r="32" spans="1:11">
      <c r="A32" s="397"/>
      <c r="B32" s="403"/>
      <c r="C32" s="400" t="s">
        <v>189</v>
      </c>
      <c r="D32" s="400"/>
      <c r="E32" s="400"/>
      <c r="F32" s="400"/>
      <c r="G32" s="151" t="s">
        <v>175</v>
      </c>
      <c r="H32" s="148">
        <f>H29</f>
        <v>4</v>
      </c>
      <c r="I32" s="149">
        <v>16.399999999999999</v>
      </c>
      <c r="J32" s="149">
        <f t="shared" si="5"/>
        <v>65.599999999999994</v>
      </c>
      <c r="K32" s="150">
        <f t="shared" si="6"/>
        <v>78.719999999999985</v>
      </c>
    </row>
    <row r="33" spans="1:11">
      <c r="A33" s="397"/>
      <c r="B33" s="403"/>
      <c r="C33" s="400" t="s">
        <v>190</v>
      </c>
      <c r="D33" s="400"/>
      <c r="E33" s="400"/>
      <c r="F33" s="400"/>
      <c r="G33" s="151" t="s">
        <v>171</v>
      </c>
      <c r="H33" s="148">
        <v>1</v>
      </c>
      <c r="I33" s="149">
        <v>10000</v>
      </c>
      <c r="J33" s="149">
        <f t="shared" si="5"/>
        <v>10000</v>
      </c>
      <c r="K33" s="150">
        <f t="shared" si="6"/>
        <v>12000</v>
      </c>
    </row>
    <row r="34" spans="1:11">
      <c r="A34" s="397"/>
      <c r="B34" s="403"/>
      <c r="C34" s="400" t="s">
        <v>191</v>
      </c>
      <c r="D34" s="400"/>
      <c r="E34" s="400"/>
      <c r="F34" s="400"/>
      <c r="G34" s="151" t="s">
        <v>170</v>
      </c>
      <c r="H34" s="148">
        <v>1</v>
      </c>
      <c r="I34" s="149">
        <v>8000</v>
      </c>
      <c r="J34" s="149">
        <f t="shared" si="5"/>
        <v>8000</v>
      </c>
      <c r="K34" s="150">
        <f t="shared" si="6"/>
        <v>9600</v>
      </c>
    </row>
    <row r="35" spans="1:11">
      <c r="A35" s="397"/>
      <c r="B35" s="403"/>
      <c r="C35" s="400" t="s">
        <v>193</v>
      </c>
      <c r="D35" s="400"/>
      <c r="E35" s="400"/>
      <c r="F35" s="400"/>
      <c r="G35" s="151" t="s">
        <v>170</v>
      </c>
      <c r="H35" s="148">
        <f>Tep_ztraty_Nocležna_III!O245</f>
        <v>21</v>
      </c>
      <c r="I35" s="149">
        <f>181+150</f>
        <v>331</v>
      </c>
      <c r="J35" s="149">
        <f t="shared" si="5"/>
        <v>6951</v>
      </c>
      <c r="K35" s="150">
        <f t="shared" si="6"/>
        <v>8341.1999999999989</v>
      </c>
    </row>
    <row r="36" spans="1:11">
      <c r="A36" s="397"/>
      <c r="B36" s="403"/>
      <c r="C36" s="400" t="s">
        <v>194</v>
      </c>
      <c r="D36" s="400"/>
      <c r="E36" s="400"/>
      <c r="F36" s="400"/>
      <c r="G36" s="151" t="s">
        <v>170</v>
      </c>
      <c r="H36" s="148">
        <f>H35</f>
        <v>21</v>
      </c>
      <c r="I36" s="149">
        <f>230+150</f>
        <v>380</v>
      </c>
      <c r="J36" s="149">
        <f t="shared" si="5"/>
        <v>7980</v>
      </c>
      <c r="K36" s="150">
        <f t="shared" si="6"/>
        <v>9576</v>
      </c>
    </row>
    <row r="37" spans="1:11" ht="26.25" customHeight="1">
      <c r="A37" s="397"/>
      <c r="B37" s="404"/>
      <c r="C37" s="405" t="s">
        <v>192</v>
      </c>
      <c r="D37" s="405"/>
      <c r="E37" s="405"/>
      <c r="F37" s="405"/>
      <c r="G37" s="164" t="s">
        <v>171</v>
      </c>
      <c r="H37" s="165">
        <v>1</v>
      </c>
      <c r="I37" s="166">
        <v>15000</v>
      </c>
      <c r="J37" s="167">
        <f t="shared" si="5"/>
        <v>15000</v>
      </c>
      <c r="K37" s="168">
        <f t="shared" si="6"/>
        <v>18000</v>
      </c>
    </row>
    <row r="38" spans="1:11">
      <c r="A38" s="398"/>
      <c r="C38" s="244"/>
      <c r="D38" s="244"/>
      <c r="E38" s="244"/>
      <c r="F38" s="244"/>
      <c r="J38" s="139">
        <f>SUM(J26:J37)</f>
        <v>170330.01</v>
      </c>
      <c r="K38" s="163">
        <f t="shared" si="6"/>
        <v>204396.01200000002</v>
      </c>
    </row>
    <row r="39" spans="1:11">
      <c r="C39" s="113"/>
      <c r="D39" s="113"/>
      <c r="E39" s="113"/>
      <c r="F39" s="113"/>
      <c r="J39" s="139"/>
      <c r="K39" s="140"/>
    </row>
    <row r="40" spans="1:11">
      <c r="G40" s="143"/>
    </row>
    <row r="41" spans="1:11">
      <c r="A41" s="376"/>
      <c r="B41" s="377"/>
      <c r="C41" s="377"/>
      <c r="D41" s="378" t="s">
        <v>202</v>
      </c>
      <c r="E41" s="381" t="s">
        <v>198</v>
      </c>
      <c r="F41" s="381"/>
      <c r="G41" s="382" t="s">
        <v>199</v>
      </c>
      <c r="H41" s="382"/>
      <c r="I41" s="378" t="s">
        <v>200</v>
      </c>
      <c r="J41" s="383"/>
      <c r="K41" s="384" t="s">
        <v>305</v>
      </c>
    </row>
    <row r="42" spans="1:11" ht="26.25" thickBot="1">
      <c r="A42" s="366"/>
      <c r="B42" s="242"/>
      <c r="C42" s="242"/>
      <c r="D42" s="379"/>
      <c r="E42" s="379" t="s">
        <v>196</v>
      </c>
      <c r="F42" s="379" t="s">
        <v>197</v>
      </c>
      <c r="G42" s="173" t="s">
        <v>203</v>
      </c>
      <c r="H42" s="174" t="s">
        <v>204</v>
      </c>
      <c r="I42" s="379" t="s">
        <v>201</v>
      </c>
      <c r="J42" s="391" t="s">
        <v>181</v>
      </c>
      <c r="K42" s="385"/>
    </row>
    <row r="43" spans="1:11" ht="13.5" thickBot="1">
      <c r="A43" s="393"/>
      <c r="B43" s="394"/>
      <c r="C43" s="394"/>
      <c r="D43" s="380"/>
      <c r="E43" s="388"/>
      <c r="F43" s="389"/>
      <c r="G43" s="175">
        <v>2.9</v>
      </c>
      <c r="H43" s="176">
        <v>178</v>
      </c>
      <c r="I43" s="390"/>
      <c r="J43" s="392"/>
      <c r="K43" s="386"/>
    </row>
    <row r="44" spans="1:11">
      <c r="A44" s="376" t="s">
        <v>314</v>
      </c>
      <c r="B44" s="377"/>
      <c r="C44" s="377"/>
      <c r="D44" s="214">
        <v>15011</v>
      </c>
      <c r="E44" s="215">
        <v>35.700000000000003</v>
      </c>
      <c r="F44" s="215">
        <v>128.4</v>
      </c>
      <c r="G44" s="171">
        <v>8917</v>
      </c>
      <c r="H44" s="171">
        <v>131</v>
      </c>
      <c r="I44" s="216">
        <f>G44*$G$43</f>
        <v>25859.3</v>
      </c>
      <c r="J44" s="219">
        <f>H44*$H$43</f>
        <v>23318</v>
      </c>
      <c r="K44" s="386"/>
    </row>
    <row r="45" spans="1:11">
      <c r="A45" s="366" t="s">
        <v>315</v>
      </c>
      <c r="B45" s="242"/>
      <c r="C45" s="242"/>
      <c r="D45" s="217">
        <v>12961</v>
      </c>
      <c r="E45" s="148">
        <v>30.8</v>
      </c>
      <c r="F45" s="148">
        <v>110.9</v>
      </c>
      <c r="G45" s="169">
        <v>7701</v>
      </c>
      <c r="H45" s="169">
        <v>113</v>
      </c>
      <c r="I45" s="149">
        <f t="shared" ref="I45:I47" si="7">G45*$G$43</f>
        <v>22332.899999999998</v>
      </c>
      <c r="J45" s="220">
        <f t="shared" ref="J45:J47" si="8">H45*$H$43</f>
        <v>20114</v>
      </c>
      <c r="K45" s="386"/>
    </row>
    <row r="46" spans="1:11">
      <c r="A46" s="366" t="s">
        <v>316</v>
      </c>
      <c r="B46" s="242"/>
      <c r="C46" s="242"/>
      <c r="D46" s="217">
        <v>12213</v>
      </c>
      <c r="E46" s="148">
        <v>29</v>
      </c>
      <c r="F46" s="148">
        <v>104.5</v>
      </c>
      <c r="G46" s="169">
        <v>7257</v>
      </c>
      <c r="H46" s="169">
        <v>107</v>
      </c>
      <c r="I46" s="149">
        <f t="shared" si="7"/>
        <v>21045.3</v>
      </c>
      <c r="J46" s="220">
        <f t="shared" si="8"/>
        <v>19046</v>
      </c>
      <c r="K46" s="386"/>
    </row>
    <row r="47" spans="1:11">
      <c r="A47" s="362" t="s">
        <v>318</v>
      </c>
      <c r="B47" s="363"/>
      <c r="C47" s="363"/>
      <c r="D47" s="218">
        <v>10227</v>
      </c>
      <c r="E47" s="153">
        <v>24.3</v>
      </c>
      <c r="F47" s="153">
        <v>87.5</v>
      </c>
      <c r="G47" s="170">
        <v>6076</v>
      </c>
      <c r="H47" s="170">
        <v>89</v>
      </c>
      <c r="I47" s="154">
        <f t="shared" si="7"/>
        <v>17620.399999999998</v>
      </c>
      <c r="J47" s="221">
        <f t="shared" si="8"/>
        <v>15842</v>
      </c>
      <c r="K47" s="387"/>
    </row>
    <row r="48" spans="1:11">
      <c r="A48" s="244"/>
      <c r="B48" s="244"/>
      <c r="C48" s="244"/>
      <c r="G48" s="143"/>
    </row>
    <row r="49" spans="1:11">
      <c r="G49" s="143"/>
    </row>
    <row r="50" spans="1:11">
      <c r="A50" s="376"/>
      <c r="B50" s="377"/>
      <c r="C50" s="377"/>
      <c r="D50" s="378" t="s">
        <v>202</v>
      </c>
      <c r="E50" s="381" t="s">
        <v>198</v>
      </c>
      <c r="F50" s="381"/>
      <c r="G50" s="382" t="s">
        <v>199</v>
      </c>
      <c r="H50" s="382"/>
      <c r="I50" s="378" t="s">
        <v>200</v>
      </c>
      <c r="J50" s="383"/>
      <c r="K50" s="384" t="s">
        <v>304</v>
      </c>
    </row>
    <row r="51" spans="1:11" ht="26.25" thickBot="1">
      <c r="A51" s="366"/>
      <c r="B51" s="242"/>
      <c r="C51" s="242"/>
      <c r="D51" s="379"/>
      <c r="E51" s="379" t="s">
        <v>196</v>
      </c>
      <c r="F51" s="379" t="s">
        <v>197</v>
      </c>
      <c r="G51" s="173" t="s">
        <v>203</v>
      </c>
      <c r="H51" s="174" t="s">
        <v>204</v>
      </c>
      <c r="I51" s="379" t="s">
        <v>201</v>
      </c>
      <c r="J51" s="391" t="s">
        <v>181</v>
      </c>
      <c r="K51" s="385"/>
    </row>
    <row r="52" spans="1:11" ht="13.5" thickBot="1">
      <c r="A52" s="393"/>
      <c r="B52" s="394"/>
      <c r="C52" s="394"/>
      <c r="D52" s="380"/>
      <c r="E52" s="388"/>
      <c r="F52" s="389"/>
      <c r="G52" s="175">
        <v>2.9</v>
      </c>
      <c r="H52" s="176">
        <v>178</v>
      </c>
      <c r="I52" s="390"/>
      <c r="J52" s="392"/>
      <c r="K52" s="386"/>
    </row>
    <row r="53" spans="1:11">
      <c r="A53" s="376" t="s">
        <v>314</v>
      </c>
      <c r="B53" s="377"/>
      <c r="C53" s="377"/>
      <c r="D53" s="214">
        <v>18232</v>
      </c>
      <c r="E53" s="215">
        <v>43.3</v>
      </c>
      <c r="F53" s="215">
        <v>156</v>
      </c>
      <c r="G53" s="171">
        <v>10833</v>
      </c>
      <c r="H53" s="171">
        <v>159</v>
      </c>
      <c r="I53" s="216">
        <f>G53*$G$43</f>
        <v>31415.7</v>
      </c>
      <c r="J53" s="219">
        <f>H53*$H$43</f>
        <v>28302</v>
      </c>
      <c r="K53" s="386"/>
    </row>
    <row r="54" spans="1:11">
      <c r="A54" s="366" t="s">
        <v>315</v>
      </c>
      <c r="B54" s="242"/>
      <c r="C54" s="242"/>
      <c r="D54" s="217">
        <v>13794</v>
      </c>
      <c r="E54" s="148">
        <v>32</v>
      </c>
      <c r="F54" s="148">
        <v>118</v>
      </c>
      <c r="G54" s="169">
        <v>8194</v>
      </c>
      <c r="H54" s="169">
        <v>120</v>
      </c>
      <c r="I54" s="149">
        <f t="shared" ref="I54:I56" si="9">G54*$G$43</f>
        <v>23762.6</v>
      </c>
      <c r="J54" s="220">
        <f t="shared" ref="J54:J56" si="10">H54*$H$43</f>
        <v>21360</v>
      </c>
      <c r="K54" s="386"/>
    </row>
    <row r="55" spans="1:11">
      <c r="A55" s="366" t="s">
        <v>316</v>
      </c>
      <c r="B55" s="242"/>
      <c r="C55" s="242"/>
      <c r="D55" s="217">
        <v>11507</v>
      </c>
      <c r="E55" s="148">
        <v>27.3</v>
      </c>
      <c r="F55" s="148">
        <v>98.5</v>
      </c>
      <c r="G55" s="169">
        <v>6840</v>
      </c>
      <c r="H55" s="169">
        <v>101</v>
      </c>
      <c r="I55" s="149">
        <f t="shared" si="9"/>
        <v>19836</v>
      </c>
      <c r="J55" s="220">
        <f t="shared" si="10"/>
        <v>17978</v>
      </c>
      <c r="K55" s="386"/>
    </row>
    <row r="56" spans="1:11">
      <c r="A56" s="362" t="s">
        <v>318</v>
      </c>
      <c r="B56" s="363"/>
      <c r="C56" s="363"/>
      <c r="D56" s="218">
        <v>10490</v>
      </c>
      <c r="E56" s="153">
        <v>24.9</v>
      </c>
      <c r="F56" s="153">
        <v>89.8</v>
      </c>
      <c r="G56" s="170">
        <v>6236</v>
      </c>
      <c r="H56" s="170">
        <v>92</v>
      </c>
      <c r="I56" s="154">
        <f t="shared" si="9"/>
        <v>18084.399999999998</v>
      </c>
      <c r="J56" s="221">
        <f t="shared" si="10"/>
        <v>16376</v>
      </c>
      <c r="K56" s="387"/>
    </row>
    <row r="57" spans="1:11">
      <c r="G57" s="143"/>
    </row>
    <row r="58" spans="1:11">
      <c r="G58" s="143"/>
    </row>
    <row r="59" spans="1:11">
      <c r="A59" s="376"/>
      <c r="B59" s="377"/>
      <c r="C59" s="377"/>
      <c r="D59" s="378" t="s">
        <v>202</v>
      </c>
      <c r="E59" s="381" t="s">
        <v>198</v>
      </c>
      <c r="F59" s="381"/>
      <c r="G59" s="382" t="s">
        <v>199</v>
      </c>
      <c r="H59" s="382"/>
      <c r="I59" s="378" t="s">
        <v>200</v>
      </c>
      <c r="J59" s="383"/>
      <c r="K59" s="384" t="s">
        <v>317</v>
      </c>
    </row>
    <row r="60" spans="1:11" ht="26.25" thickBot="1">
      <c r="A60" s="366"/>
      <c r="B60" s="242"/>
      <c r="C60" s="242"/>
      <c r="D60" s="379"/>
      <c r="E60" s="379" t="s">
        <v>196</v>
      </c>
      <c r="F60" s="379" t="s">
        <v>197</v>
      </c>
      <c r="G60" s="173" t="s">
        <v>203</v>
      </c>
      <c r="H60" s="174" t="s">
        <v>204</v>
      </c>
      <c r="I60" s="379" t="s">
        <v>201</v>
      </c>
      <c r="J60" s="391" t="s">
        <v>181</v>
      </c>
      <c r="K60" s="385"/>
    </row>
    <row r="61" spans="1:11" ht="13.5" thickBot="1">
      <c r="A61" s="393"/>
      <c r="B61" s="394"/>
      <c r="C61" s="394"/>
      <c r="D61" s="380"/>
      <c r="E61" s="388"/>
      <c r="F61" s="389"/>
      <c r="G61" s="175">
        <v>2.9</v>
      </c>
      <c r="H61" s="176">
        <v>178</v>
      </c>
      <c r="I61" s="390"/>
      <c r="J61" s="392"/>
      <c r="K61" s="386"/>
    </row>
    <row r="62" spans="1:11">
      <c r="A62" s="376" t="s">
        <v>314</v>
      </c>
      <c r="B62" s="377"/>
      <c r="C62" s="377"/>
      <c r="D62" s="214"/>
      <c r="E62" s="215"/>
      <c r="F62" s="215"/>
      <c r="G62" s="171"/>
      <c r="H62" s="171"/>
      <c r="I62" s="216">
        <f>I44+I53</f>
        <v>57275</v>
      </c>
      <c r="J62" s="222">
        <f>J44+J53</f>
        <v>51620</v>
      </c>
      <c r="K62" s="386"/>
    </row>
    <row r="63" spans="1:11">
      <c r="A63" s="366" t="s">
        <v>315</v>
      </c>
      <c r="B63" s="242"/>
      <c r="C63" s="242"/>
      <c r="D63" s="217"/>
      <c r="E63" s="148"/>
      <c r="F63" s="148"/>
      <c r="G63" s="169"/>
      <c r="H63" s="169"/>
      <c r="I63" s="149">
        <f t="shared" ref="I63:J63" si="11">I45+I54</f>
        <v>46095.5</v>
      </c>
      <c r="J63" s="150">
        <f t="shared" si="11"/>
        <v>41474</v>
      </c>
      <c r="K63" s="386"/>
    </row>
    <row r="64" spans="1:11">
      <c r="A64" s="366" t="s">
        <v>316</v>
      </c>
      <c r="B64" s="242"/>
      <c r="C64" s="242"/>
      <c r="D64" s="217"/>
      <c r="E64" s="148"/>
      <c r="F64" s="148"/>
      <c r="G64" s="169"/>
      <c r="H64" s="169"/>
      <c r="I64" s="149">
        <f t="shared" ref="I64:J64" si="12">I46+I55</f>
        <v>40881.300000000003</v>
      </c>
      <c r="J64" s="150">
        <f t="shared" si="12"/>
        <v>37024</v>
      </c>
      <c r="K64" s="386"/>
    </row>
    <row r="65" spans="1:11">
      <c r="A65" s="362" t="s">
        <v>318</v>
      </c>
      <c r="B65" s="363"/>
      <c r="C65" s="363"/>
      <c r="D65" s="218"/>
      <c r="E65" s="153"/>
      <c r="F65" s="153"/>
      <c r="G65" s="170"/>
      <c r="H65" s="170"/>
      <c r="I65" s="154">
        <f t="shared" ref="I65:J65" si="13">I47+I56</f>
        <v>35704.799999999996</v>
      </c>
      <c r="J65" s="155">
        <f t="shared" si="13"/>
        <v>32218</v>
      </c>
      <c r="K65" s="387"/>
    </row>
    <row r="66" spans="1:11">
      <c r="A66" s="224"/>
      <c r="B66" s="224"/>
      <c r="C66" s="224"/>
      <c r="D66" s="212"/>
      <c r="E66" s="1"/>
      <c r="F66" s="1"/>
      <c r="G66" s="213"/>
      <c r="H66" s="213"/>
      <c r="I66" s="228"/>
      <c r="J66" s="228"/>
      <c r="K66" s="229"/>
    </row>
    <row r="67" spans="1:11">
      <c r="A67" s="367"/>
      <c r="B67" s="368"/>
      <c r="C67" s="368"/>
      <c r="D67" s="235" t="s">
        <v>169</v>
      </c>
      <c r="E67" s="236" t="s">
        <v>336</v>
      </c>
      <c r="F67" s="236" t="s">
        <v>335</v>
      </c>
      <c r="G67" s="237" t="s">
        <v>337</v>
      </c>
      <c r="H67" s="213"/>
      <c r="I67" s="228"/>
      <c r="J67" s="228"/>
      <c r="K67" s="229"/>
    </row>
    <row r="68" spans="1:11">
      <c r="A68" s="364" t="s">
        <v>315</v>
      </c>
      <c r="B68" s="365"/>
      <c r="C68" s="365"/>
      <c r="D68" s="233" t="s">
        <v>172</v>
      </c>
      <c r="E68" s="157">
        <v>24.91</v>
      </c>
      <c r="F68" s="157">
        <v>4000</v>
      </c>
      <c r="G68" s="234">
        <f>E68*F68</f>
        <v>99640</v>
      </c>
      <c r="H68" s="213"/>
      <c r="I68" s="228"/>
      <c r="J68" s="228"/>
      <c r="K68" s="229"/>
    </row>
    <row r="69" spans="1:11">
      <c r="A69" s="366" t="s">
        <v>316</v>
      </c>
      <c r="B69" s="242"/>
      <c r="C69" s="242"/>
      <c r="D69" s="217" t="s">
        <v>172</v>
      </c>
      <c r="E69" s="148">
        <v>112.77</v>
      </c>
      <c r="F69" s="148">
        <v>750</v>
      </c>
      <c r="G69" s="231">
        <f>E69*F69</f>
        <v>84577.5</v>
      </c>
      <c r="H69" s="213"/>
      <c r="I69" s="228"/>
      <c r="J69" s="228"/>
      <c r="K69" s="229"/>
    </row>
    <row r="70" spans="1:11">
      <c r="A70" s="362" t="s">
        <v>318</v>
      </c>
      <c r="B70" s="363"/>
      <c r="C70" s="363"/>
      <c r="D70" s="218"/>
      <c r="E70" s="153"/>
      <c r="F70" s="153"/>
      <c r="G70" s="232">
        <f>G68+G69</f>
        <v>184217.5</v>
      </c>
      <c r="H70" s="213"/>
      <c r="I70" s="228"/>
      <c r="J70" s="228"/>
      <c r="K70" s="229"/>
    </row>
    <row r="71" spans="1:11">
      <c r="A71" s="224"/>
      <c r="B71" s="224"/>
      <c r="C71" s="224"/>
      <c r="D71" s="212"/>
      <c r="E71" s="1"/>
      <c r="F71" s="1"/>
      <c r="G71" s="213"/>
      <c r="H71" s="213"/>
      <c r="I71" s="228"/>
      <c r="J71" s="228"/>
      <c r="K71" s="229"/>
    </row>
    <row r="72" spans="1:11">
      <c r="A72" s="375" t="s">
        <v>326</v>
      </c>
      <c r="B72" s="244"/>
      <c r="C72" s="244"/>
      <c r="D72" s="244"/>
      <c r="E72" s="230">
        <v>110000</v>
      </c>
      <c r="F72" s="1" t="s">
        <v>327</v>
      </c>
      <c r="G72" s="213"/>
      <c r="H72" s="213"/>
      <c r="I72" s="228"/>
      <c r="J72" s="228"/>
      <c r="K72" s="229"/>
    </row>
    <row r="73" spans="1:11">
      <c r="G73" s="143"/>
    </row>
    <row r="74" spans="1:11">
      <c r="A74" s="372" t="s">
        <v>324</v>
      </c>
      <c r="B74" s="373"/>
      <c r="C74" s="373"/>
      <c r="D74" s="373"/>
      <c r="E74" s="373"/>
      <c r="F74" s="373"/>
      <c r="G74" s="373"/>
      <c r="H74" s="374"/>
    </row>
    <row r="75" spans="1:11" ht="38.25">
      <c r="A75" s="369"/>
      <c r="B75" s="370"/>
      <c r="C75" s="371"/>
      <c r="D75" s="208" t="s">
        <v>205</v>
      </c>
      <c r="E75" s="208" t="s">
        <v>320</v>
      </c>
      <c r="F75" s="208" t="s">
        <v>206</v>
      </c>
      <c r="G75" s="227" t="s">
        <v>322</v>
      </c>
      <c r="H75" s="207" t="s">
        <v>323</v>
      </c>
    </row>
    <row r="76" spans="1:11">
      <c r="A76" s="364" t="s">
        <v>331</v>
      </c>
      <c r="B76" s="365"/>
      <c r="C76" s="365"/>
      <c r="D76" s="158">
        <f>$K$10+$K$38/2</f>
        <v>391038.00599999999</v>
      </c>
      <c r="E76" s="158"/>
      <c r="F76" s="157"/>
      <c r="G76" s="171"/>
      <c r="H76" s="172"/>
    </row>
    <row r="77" spans="1:11">
      <c r="A77" s="366" t="s">
        <v>314</v>
      </c>
      <c r="B77" s="242"/>
      <c r="C77" s="242"/>
      <c r="D77" s="149">
        <f>0+$D$76</f>
        <v>391038.00599999999</v>
      </c>
      <c r="E77" s="149">
        <f>$E$72</f>
        <v>110000</v>
      </c>
      <c r="F77" s="149">
        <f>I44</f>
        <v>25859.3</v>
      </c>
      <c r="G77" s="169">
        <f>E77-F77</f>
        <v>84140.7</v>
      </c>
      <c r="H77" s="225">
        <f>D77/G77</f>
        <v>4.6474299120401898</v>
      </c>
    </row>
    <row r="78" spans="1:11">
      <c r="A78" s="366" t="s">
        <v>315</v>
      </c>
      <c r="B78" s="242"/>
      <c r="C78" s="242"/>
      <c r="D78" s="149">
        <f>$G$68+$D$76</f>
        <v>490678.00599999999</v>
      </c>
      <c r="E78" s="149">
        <f t="shared" ref="E78:E80" si="14">$E$72</f>
        <v>110000</v>
      </c>
      <c r="F78" s="149">
        <f t="shared" ref="F78:F80" si="15">I45</f>
        <v>22332.899999999998</v>
      </c>
      <c r="G78" s="169">
        <f t="shared" ref="G78:G80" si="16">E78-F78</f>
        <v>87667.1</v>
      </c>
      <c r="H78" s="225">
        <f t="shared" ref="H78:H80" si="17">D78/G78</f>
        <v>5.5970598548372186</v>
      </c>
    </row>
    <row r="79" spans="1:11">
      <c r="A79" s="366" t="s">
        <v>316</v>
      </c>
      <c r="B79" s="242"/>
      <c r="C79" s="242"/>
      <c r="D79" s="149">
        <f>$G$69+$D$76</f>
        <v>475615.50599999999</v>
      </c>
      <c r="E79" s="149">
        <f t="shared" si="14"/>
        <v>110000</v>
      </c>
      <c r="F79" s="149">
        <f t="shared" si="15"/>
        <v>21045.3</v>
      </c>
      <c r="G79" s="169">
        <f t="shared" si="16"/>
        <v>88954.7</v>
      </c>
      <c r="H79" s="225">
        <f t="shared" si="17"/>
        <v>5.3467158677394222</v>
      </c>
    </row>
    <row r="80" spans="1:11">
      <c r="A80" s="362" t="s">
        <v>318</v>
      </c>
      <c r="B80" s="363"/>
      <c r="C80" s="363"/>
      <c r="D80" s="154">
        <f>G70+D76</f>
        <v>575255.50600000005</v>
      </c>
      <c r="E80" s="154">
        <f t="shared" si="14"/>
        <v>110000</v>
      </c>
      <c r="F80" s="154">
        <f t="shared" si="15"/>
        <v>17620.399999999998</v>
      </c>
      <c r="G80" s="170">
        <f t="shared" si="16"/>
        <v>92379.6</v>
      </c>
      <c r="H80" s="226">
        <f t="shared" si="17"/>
        <v>6.227083750092012</v>
      </c>
    </row>
    <row r="81" spans="1:8">
      <c r="G81" s="143"/>
    </row>
    <row r="82" spans="1:8">
      <c r="A82" s="372" t="s">
        <v>325</v>
      </c>
      <c r="B82" s="373"/>
      <c r="C82" s="373"/>
      <c r="D82" s="373"/>
      <c r="E82" s="373"/>
      <c r="F82" s="373"/>
      <c r="G82" s="373"/>
      <c r="H82" s="374"/>
    </row>
    <row r="83" spans="1:8" ht="38.25">
      <c r="A83" s="369"/>
      <c r="B83" s="370"/>
      <c r="C83" s="371"/>
      <c r="D83" s="208" t="s">
        <v>205</v>
      </c>
      <c r="E83" s="208" t="s">
        <v>320</v>
      </c>
      <c r="F83" s="208" t="s">
        <v>206</v>
      </c>
      <c r="G83" s="227" t="s">
        <v>322</v>
      </c>
      <c r="H83" s="207" t="s">
        <v>323</v>
      </c>
    </row>
    <row r="84" spans="1:8">
      <c r="A84" s="364" t="s">
        <v>332</v>
      </c>
      <c r="B84" s="365"/>
      <c r="C84" s="365"/>
      <c r="D84" s="158">
        <f>$K$21+$K$38/2</f>
        <v>419422.80599999998</v>
      </c>
      <c r="E84" s="158"/>
      <c r="F84" s="157"/>
      <c r="G84" s="171"/>
      <c r="H84" s="172"/>
    </row>
    <row r="85" spans="1:8">
      <c r="A85" s="366" t="s">
        <v>314</v>
      </c>
      <c r="B85" s="242"/>
      <c r="C85" s="242"/>
      <c r="D85" s="149">
        <f>0+$D$84</f>
        <v>419422.80599999998</v>
      </c>
      <c r="E85" s="149">
        <f>$E$72</f>
        <v>110000</v>
      </c>
      <c r="F85" s="149">
        <f>J44</f>
        <v>23318</v>
      </c>
      <c r="G85" s="169">
        <f>E85-F85</f>
        <v>86682</v>
      </c>
      <c r="H85" s="225">
        <f>D85/G85</f>
        <v>4.8386378486883084</v>
      </c>
    </row>
    <row r="86" spans="1:8">
      <c r="A86" s="366" t="s">
        <v>315</v>
      </c>
      <c r="B86" s="242"/>
      <c r="C86" s="242"/>
      <c r="D86" s="149">
        <f>G68+D84</f>
        <v>519062.80599999998</v>
      </c>
      <c r="E86" s="149">
        <f t="shared" ref="E86:E88" si="18">$E$72</f>
        <v>110000</v>
      </c>
      <c r="F86" s="149">
        <f t="shared" ref="F86:F88" si="19">J45</f>
        <v>20114</v>
      </c>
      <c r="G86" s="169">
        <f t="shared" ref="G86:G88" si="20">E86-F86</f>
        <v>89886</v>
      </c>
      <c r="H86" s="225">
        <f t="shared" ref="H86:H88" si="21">D86/G86</f>
        <v>5.7746791046436599</v>
      </c>
    </row>
    <row r="87" spans="1:8">
      <c r="A87" s="366" t="s">
        <v>316</v>
      </c>
      <c r="B87" s="242"/>
      <c r="C87" s="242"/>
      <c r="D87" s="149">
        <f>G69+D84</f>
        <v>504000.30599999998</v>
      </c>
      <c r="E87" s="149">
        <f t="shared" si="18"/>
        <v>110000</v>
      </c>
      <c r="F87" s="149">
        <f t="shared" si="19"/>
        <v>19046</v>
      </c>
      <c r="G87" s="169">
        <f t="shared" si="20"/>
        <v>90954</v>
      </c>
      <c r="H87" s="225">
        <f t="shared" si="21"/>
        <v>5.5412659806055808</v>
      </c>
    </row>
    <row r="88" spans="1:8">
      <c r="A88" s="362" t="s">
        <v>318</v>
      </c>
      <c r="B88" s="363"/>
      <c r="C88" s="363"/>
      <c r="D88" s="154">
        <f>G70+D84</f>
        <v>603640.30599999998</v>
      </c>
      <c r="E88" s="154">
        <f t="shared" si="18"/>
        <v>110000</v>
      </c>
      <c r="F88" s="154">
        <f t="shared" si="19"/>
        <v>15842</v>
      </c>
      <c r="G88" s="170">
        <f t="shared" si="20"/>
        <v>94158</v>
      </c>
      <c r="H88" s="226">
        <f t="shared" si="21"/>
        <v>6.4109295651989209</v>
      </c>
    </row>
    <row r="91" spans="1:8">
      <c r="A91" s="372" t="s">
        <v>329</v>
      </c>
      <c r="B91" s="373"/>
      <c r="C91" s="373"/>
      <c r="D91" s="373"/>
      <c r="E91" s="373"/>
      <c r="F91" s="373"/>
      <c r="G91" s="373"/>
      <c r="H91" s="374"/>
    </row>
    <row r="92" spans="1:8" ht="38.25">
      <c r="A92" s="369"/>
      <c r="B92" s="370"/>
      <c r="C92" s="371"/>
      <c r="D92" s="208" t="s">
        <v>205</v>
      </c>
      <c r="E92" s="208" t="s">
        <v>320</v>
      </c>
      <c r="F92" s="208" t="s">
        <v>206</v>
      </c>
      <c r="G92" s="227" t="s">
        <v>322</v>
      </c>
      <c r="H92" s="207" t="s">
        <v>323</v>
      </c>
    </row>
    <row r="93" spans="1:8">
      <c r="A93" s="364" t="s">
        <v>319</v>
      </c>
      <c r="B93" s="365"/>
      <c r="C93" s="365"/>
      <c r="D93" s="158">
        <f>$K$10+$K$38/2</f>
        <v>391038.00599999999</v>
      </c>
      <c r="E93" s="158"/>
      <c r="F93" s="157"/>
      <c r="G93" s="171"/>
      <c r="H93" s="172"/>
    </row>
    <row r="94" spans="1:8">
      <c r="A94" s="366" t="s">
        <v>314</v>
      </c>
      <c r="B94" s="242"/>
      <c r="C94" s="242"/>
      <c r="D94" s="149">
        <f>0+$D$76</f>
        <v>391038.00599999999</v>
      </c>
      <c r="E94" s="149">
        <f>$E$72</f>
        <v>110000</v>
      </c>
      <c r="F94" s="149">
        <f>I53</f>
        <v>31415.7</v>
      </c>
      <c r="G94" s="169">
        <f>E94-F94</f>
        <v>78584.3</v>
      </c>
      <c r="H94" s="225">
        <f>D94/G94</f>
        <v>4.976032184545768</v>
      </c>
    </row>
    <row r="95" spans="1:8">
      <c r="A95" s="366" t="s">
        <v>315</v>
      </c>
      <c r="B95" s="242"/>
      <c r="C95" s="242"/>
      <c r="D95" s="149">
        <f>G68+D93</f>
        <v>490678.00599999999</v>
      </c>
      <c r="E95" s="149">
        <f t="shared" ref="E95:E97" si="22">$E$72</f>
        <v>110000</v>
      </c>
      <c r="F95" s="149">
        <f t="shared" ref="F95:F97" si="23">I54</f>
        <v>23762.6</v>
      </c>
      <c r="G95" s="169">
        <f t="shared" ref="G95:G97" si="24">E95-F95</f>
        <v>86237.4</v>
      </c>
      <c r="H95" s="225">
        <f t="shared" ref="H95:H97" si="25">D95/G95</f>
        <v>5.6898515725195802</v>
      </c>
    </row>
    <row r="96" spans="1:8">
      <c r="A96" s="366" t="s">
        <v>316</v>
      </c>
      <c r="B96" s="242"/>
      <c r="C96" s="242"/>
      <c r="D96" s="149">
        <f>G69+D93</f>
        <v>475615.50599999999</v>
      </c>
      <c r="E96" s="149">
        <f t="shared" si="22"/>
        <v>110000</v>
      </c>
      <c r="F96" s="149">
        <f t="shared" si="23"/>
        <v>19836</v>
      </c>
      <c r="G96" s="169">
        <f t="shared" si="24"/>
        <v>90164</v>
      </c>
      <c r="H96" s="225">
        <f t="shared" si="25"/>
        <v>5.2750045029058157</v>
      </c>
    </row>
    <row r="97" spans="1:8">
      <c r="A97" s="362" t="s">
        <v>318</v>
      </c>
      <c r="B97" s="363"/>
      <c r="C97" s="363"/>
      <c r="D97" s="154">
        <f>G68+D93</f>
        <v>490678.00599999999</v>
      </c>
      <c r="E97" s="154">
        <f t="shared" si="22"/>
        <v>110000</v>
      </c>
      <c r="F97" s="154">
        <f t="shared" si="23"/>
        <v>18084.399999999998</v>
      </c>
      <c r="G97" s="170">
        <f t="shared" si="24"/>
        <v>91915.6</v>
      </c>
      <c r="H97" s="226">
        <f t="shared" si="25"/>
        <v>5.3383539464465226</v>
      </c>
    </row>
    <row r="98" spans="1:8">
      <c r="G98" s="143"/>
    </row>
    <row r="99" spans="1:8">
      <c r="A99" s="372" t="s">
        <v>330</v>
      </c>
      <c r="B99" s="373"/>
      <c r="C99" s="373"/>
      <c r="D99" s="373"/>
      <c r="E99" s="373"/>
      <c r="F99" s="373"/>
      <c r="G99" s="373"/>
      <c r="H99" s="374"/>
    </row>
    <row r="100" spans="1:8" ht="38.25">
      <c r="A100" s="369"/>
      <c r="B100" s="370"/>
      <c r="C100" s="371"/>
      <c r="D100" s="208" t="s">
        <v>205</v>
      </c>
      <c r="E100" s="208" t="s">
        <v>320</v>
      </c>
      <c r="F100" s="208" t="s">
        <v>206</v>
      </c>
      <c r="G100" s="227" t="s">
        <v>322</v>
      </c>
      <c r="H100" s="207" t="s">
        <v>323</v>
      </c>
    </row>
    <row r="101" spans="1:8">
      <c r="A101" s="364" t="s">
        <v>181</v>
      </c>
      <c r="B101" s="365"/>
      <c r="C101" s="365"/>
      <c r="D101" s="158">
        <f>$K$21+$K$38/2</f>
        <v>419422.80599999998</v>
      </c>
      <c r="E101" s="158"/>
      <c r="F101" s="157"/>
      <c r="G101" s="171"/>
      <c r="H101" s="172"/>
    </row>
    <row r="102" spans="1:8">
      <c r="A102" s="366" t="s">
        <v>314</v>
      </c>
      <c r="B102" s="242"/>
      <c r="C102" s="242"/>
      <c r="D102" s="149">
        <f>0+$D$84</f>
        <v>419422.80599999998</v>
      </c>
      <c r="E102" s="149">
        <f>$E$72</f>
        <v>110000</v>
      </c>
      <c r="F102" s="149">
        <f>J53</f>
        <v>28302</v>
      </c>
      <c r="G102" s="169">
        <f>E102-F102</f>
        <v>81698</v>
      </c>
      <c r="H102" s="225">
        <f>D102/G102</f>
        <v>5.1338197507894927</v>
      </c>
    </row>
    <row r="103" spans="1:8">
      <c r="A103" s="366" t="s">
        <v>315</v>
      </c>
      <c r="B103" s="242"/>
      <c r="C103" s="242"/>
      <c r="D103" s="149">
        <f>G68+D101</f>
        <v>519062.80599999998</v>
      </c>
      <c r="E103" s="149">
        <f t="shared" ref="E103:E105" si="26">$E$72</f>
        <v>110000</v>
      </c>
      <c r="F103" s="149">
        <f t="shared" ref="F103:F105" si="27">J54</f>
        <v>21360</v>
      </c>
      <c r="G103" s="169">
        <f t="shared" ref="G103:G105" si="28">E103-F103</f>
        <v>88640</v>
      </c>
      <c r="H103" s="225">
        <f t="shared" ref="H103:H105" si="29">D103/G103</f>
        <v>5.8558529557761734</v>
      </c>
    </row>
    <row r="104" spans="1:8">
      <c r="A104" s="366" t="s">
        <v>316</v>
      </c>
      <c r="B104" s="242"/>
      <c r="C104" s="242"/>
      <c r="D104" s="149">
        <f>G69+D101</f>
        <v>504000.30599999998</v>
      </c>
      <c r="E104" s="149">
        <f t="shared" si="26"/>
        <v>110000</v>
      </c>
      <c r="F104" s="149">
        <f t="shared" si="27"/>
        <v>17978</v>
      </c>
      <c r="G104" s="169">
        <f t="shared" si="28"/>
        <v>92022</v>
      </c>
      <c r="H104" s="225">
        <f t="shared" si="29"/>
        <v>5.4769544891439006</v>
      </c>
    </row>
    <row r="105" spans="1:8">
      <c r="A105" s="362" t="s">
        <v>318</v>
      </c>
      <c r="B105" s="363"/>
      <c r="C105" s="363"/>
      <c r="D105" s="154">
        <f>G70+D101</f>
        <v>603640.30599999998</v>
      </c>
      <c r="E105" s="154">
        <f t="shared" si="26"/>
        <v>110000</v>
      </c>
      <c r="F105" s="154">
        <f t="shared" si="27"/>
        <v>16376</v>
      </c>
      <c r="G105" s="170">
        <f t="shared" si="28"/>
        <v>93624</v>
      </c>
      <c r="H105" s="226">
        <f t="shared" si="29"/>
        <v>6.4474953644364694</v>
      </c>
    </row>
    <row r="108" spans="1:8">
      <c r="A108" s="372" t="s">
        <v>333</v>
      </c>
      <c r="B108" s="373"/>
      <c r="C108" s="373"/>
      <c r="D108" s="373"/>
      <c r="E108" s="373"/>
      <c r="F108" s="373"/>
      <c r="G108" s="373"/>
      <c r="H108" s="374"/>
    </row>
    <row r="109" spans="1:8" ht="38.25">
      <c r="A109" s="369"/>
      <c r="B109" s="370"/>
      <c r="C109" s="371"/>
      <c r="D109" s="208" t="s">
        <v>205</v>
      </c>
      <c r="E109" s="208" t="s">
        <v>320</v>
      </c>
      <c r="F109" s="208" t="s">
        <v>206</v>
      </c>
      <c r="G109" s="227" t="s">
        <v>322</v>
      </c>
      <c r="H109" s="207" t="s">
        <v>323</v>
      </c>
    </row>
    <row r="110" spans="1:8">
      <c r="A110" s="364" t="s">
        <v>319</v>
      </c>
      <c r="B110" s="365"/>
      <c r="C110" s="365"/>
      <c r="D110" s="158">
        <f>$K$10+$K$38</f>
        <v>493236.01199999999</v>
      </c>
      <c r="E110" s="158"/>
      <c r="F110" s="157"/>
      <c r="G110" s="171"/>
      <c r="H110" s="172"/>
    </row>
    <row r="111" spans="1:8">
      <c r="A111" s="366" t="s">
        <v>314</v>
      </c>
      <c r="B111" s="242"/>
      <c r="C111" s="242"/>
      <c r="D111" s="149">
        <f>0+$D$110</f>
        <v>493236.01199999999</v>
      </c>
      <c r="E111" s="149">
        <f>$E$72</f>
        <v>110000</v>
      </c>
      <c r="F111" s="149">
        <f>I62</f>
        <v>57275</v>
      </c>
      <c r="G111" s="169">
        <f>E111-F111</f>
        <v>52725</v>
      </c>
      <c r="H111" s="225">
        <f>D111/G111</f>
        <v>9.3548793172119478</v>
      </c>
    </row>
    <row r="112" spans="1:8">
      <c r="A112" s="366" t="s">
        <v>315</v>
      </c>
      <c r="B112" s="242"/>
      <c r="C112" s="242"/>
      <c r="D112" s="149">
        <f>G68+D110</f>
        <v>592876.01199999999</v>
      </c>
      <c r="E112" s="149">
        <f t="shared" ref="E112:E114" si="30">$E$72</f>
        <v>110000</v>
      </c>
      <c r="F112" s="149">
        <f t="shared" ref="F112:F114" si="31">I63</f>
        <v>46095.5</v>
      </c>
      <c r="G112" s="169">
        <f t="shared" ref="G112:G114" si="32">E112-F112</f>
        <v>63904.5</v>
      </c>
      <c r="H112" s="225">
        <f t="shared" ref="H112:H114" si="33">D112/G112</f>
        <v>9.2775315040411854</v>
      </c>
    </row>
    <row r="113" spans="1:8">
      <c r="A113" s="366" t="s">
        <v>316</v>
      </c>
      <c r="B113" s="242"/>
      <c r="C113" s="242"/>
      <c r="D113" s="149">
        <f>G69+D110</f>
        <v>577813.51199999999</v>
      </c>
      <c r="E113" s="149">
        <f t="shared" si="30"/>
        <v>110000</v>
      </c>
      <c r="F113" s="149">
        <f t="shared" si="31"/>
        <v>40881.300000000003</v>
      </c>
      <c r="G113" s="169">
        <f t="shared" si="32"/>
        <v>69118.7</v>
      </c>
      <c r="H113" s="225">
        <f t="shared" si="33"/>
        <v>8.3597277147863025</v>
      </c>
    </row>
    <row r="114" spans="1:8">
      <c r="A114" s="362" t="s">
        <v>318</v>
      </c>
      <c r="B114" s="363"/>
      <c r="C114" s="363"/>
      <c r="D114" s="154">
        <f>G70+D110</f>
        <v>677453.51199999999</v>
      </c>
      <c r="E114" s="154">
        <f t="shared" si="30"/>
        <v>110000</v>
      </c>
      <c r="F114" s="154">
        <f t="shared" si="31"/>
        <v>35704.799999999996</v>
      </c>
      <c r="G114" s="170">
        <f t="shared" si="32"/>
        <v>74295.200000000012</v>
      </c>
      <c r="H114" s="226">
        <f t="shared" si="33"/>
        <v>9.1184021578783003</v>
      </c>
    </row>
    <row r="115" spans="1:8">
      <c r="G115" s="143"/>
    </row>
    <row r="116" spans="1:8">
      <c r="A116" s="372" t="s">
        <v>334</v>
      </c>
      <c r="B116" s="373"/>
      <c r="C116" s="373"/>
      <c r="D116" s="373"/>
      <c r="E116" s="373"/>
      <c r="F116" s="373"/>
      <c r="G116" s="373"/>
      <c r="H116" s="374"/>
    </row>
    <row r="117" spans="1:8" ht="38.25">
      <c r="A117" s="369"/>
      <c r="B117" s="370"/>
      <c r="C117" s="371"/>
      <c r="D117" s="208" t="s">
        <v>205</v>
      </c>
      <c r="E117" s="208" t="s">
        <v>320</v>
      </c>
      <c r="F117" s="208" t="s">
        <v>206</v>
      </c>
      <c r="G117" s="227" t="s">
        <v>322</v>
      </c>
      <c r="H117" s="207" t="s">
        <v>323</v>
      </c>
    </row>
    <row r="118" spans="1:8">
      <c r="A118" s="364" t="s">
        <v>181</v>
      </c>
      <c r="B118" s="365"/>
      <c r="C118" s="365"/>
      <c r="D118" s="158">
        <f>$K$21+$K$38</f>
        <v>521620.81200000003</v>
      </c>
      <c r="E118" s="158"/>
      <c r="F118" s="157"/>
      <c r="G118" s="171"/>
      <c r="H118" s="172"/>
    </row>
    <row r="119" spans="1:8">
      <c r="A119" s="366" t="s">
        <v>314</v>
      </c>
      <c r="B119" s="242"/>
      <c r="C119" s="242"/>
      <c r="D119" s="149">
        <f>0+$D$118</f>
        <v>521620.81200000003</v>
      </c>
      <c r="E119" s="149">
        <f>$E$72</f>
        <v>110000</v>
      </c>
      <c r="F119" s="149">
        <f>J62</f>
        <v>51620</v>
      </c>
      <c r="G119" s="169">
        <f>E119-F119</f>
        <v>58380</v>
      </c>
      <c r="H119" s="225">
        <f>D119/G119</f>
        <v>8.9349231243576579</v>
      </c>
    </row>
    <row r="120" spans="1:8">
      <c r="A120" s="366" t="s">
        <v>315</v>
      </c>
      <c r="B120" s="242"/>
      <c r="C120" s="242"/>
      <c r="D120" s="149">
        <f>G68+D118</f>
        <v>621260.81200000003</v>
      </c>
      <c r="E120" s="149">
        <f t="shared" ref="E120:E122" si="34">$E$72</f>
        <v>110000</v>
      </c>
      <c r="F120" s="149">
        <f t="shared" ref="F120:F122" si="35">J63</f>
        <v>41474</v>
      </c>
      <c r="G120" s="169">
        <f t="shared" ref="G120:G122" si="36">E120-F120</f>
        <v>68526</v>
      </c>
      <c r="H120" s="225">
        <f t="shared" ref="H120:H122" si="37">D120/G120</f>
        <v>9.0660597729329027</v>
      </c>
    </row>
    <row r="121" spans="1:8">
      <c r="A121" s="366" t="s">
        <v>316</v>
      </c>
      <c r="B121" s="242"/>
      <c r="C121" s="242"/>
      <c r="D121" s="149">
        <f>G69+D118</f>
        <v>606198.31200000003</v>
      </c>
      <c r="E121" s="149">
        <f t="shared" si="34"/>
        <v>110000</v>
      </c>
      <c r="F121" s="149">
        <f t="shared" si="35"/>
        <v>37024</v>
      </c>
      <c r="G121" s="169">
        <f t="shared" si="36"/>
        <v>72976</v>
      </c>
      <c r="H121" s="225">
        <f t="shared" si="37"/>
        <v>8.3068174742381053</v>
      </c>
    </row>
    <row r="122" spans="1:8">
      <c r="A122" s="362" t="s">
        <v>318</v>
      </c>
      <c r="B122" s="363"/>
      <c r="C122" s="363"/>
      <c r="D122" s="154">
        <f>G70+D118</f>
        <v>705838.31200000003</v>
      </c>
      <c r="E122" s="154">
        <f t="shared" si="34"/>
        <v>110000</v>
      </c>
      <c r="F122" s="154">
        <f t="shared" si="35"/>
        <v>32218</v>
      </c>
      <c r="G122" s="170">
        <f t="shared" si="36"/>
        <v>77782</v>
      </c>
      <c r="H122" s="226">
        <f t="shared" si="37"/>
        <v>9.0745713918387292</v>
      </c>
    </row>
  </sheetData>
  <mergeCells count="130">
    <mergeCell ref="B12:F12"/>
    <mergeCell ref="B25:F25"/>
    <mergeCell ref="C16:F16"/>
    <mergeCell ref="C17:F17"/>
    <mergeCell ref="C18:F18"/>
    <mergeCell ref="C19:F19"/>
    <mergeCell ref="C20:F20"/>
    <mergeCell ref="C21:F21"/>
    <mergeCell ref="C9:F9"/>
    <mergeCell ref="C10:F10"/>
    <mergeCell ref="C13:F13"/>
    <mergeCell ref="C14:F14"/>
    <mergeCell ref="B3:B9"/>
    <mergeCell ref="B13:B20"/>
    <mergeCell ref="C15:F15"/>
    <mergeCell ref="C8:F8"/>
    <mergeCell ref="C3:F3"/>
    <mergeCell ref="C4:F4"/>
    <mergeCell ref="C5:F5"/>
    <mergeCell ref="C6:F6"/>
    <mergeCell ref="C7:F7"/>
    <mergeCell ref="A48:C48"/>
    <mergeCell ref="A2:A21"/>
    <mergeCell ref="A25:A38"/>
    <mergeCell ref="A1:K1"/>
    <mergeCell ref="A94:C94"/>
    <mergeCell ref="A95:C95"/>
    <mergeCell ref="A96:C96"/>
    <mergeCell ref="A97:C97"/>
    <mergeCell ref="C38:F38"/>
    <mergeCell ref="C33:F33"/>
    <mergeCell ref="B24:K24"/>
    <mergeCell ref="C26:F26"/>
    <mergeCell ref="C27:F27"/>
    <mergeCell ref="B26:B37"/>
    <mergeCell ref="C28:F28"/>
    <mergeCell ref="C29:F29"/>
    <mergeCell ref="C30:F30"/>
    <mergeCell ref="C31:F31"/>
    <mergeCell ref="C32:F32"/>
    <mergeCell ref="C34:F34"/>
    <mergeCell ref="C35:F35"/>
    <mergeCell ref="C36:F36"/>
    <mergeCell ref="C37:F37"/>
    <mergeCell ref="B2:F2"/>
    <mergeCell ref="E42:E43"/>
    <mergeCell ref="F42:F43"/>
    <mergeCell ref="I42:I43"/>
    <mergeCell ref="J42:J43"/>
    <mergeCell ref="K41:K47"/>
    <mergeCell ref="A41:C43"/>
    <mergeCell ref="D41:D43"/>
    <mergeCell ref="E41:F41"/>
    <mergeCell ref="G41:H41"/>
    <mergeCell ref="I41:J41"/>
    <mergeCell ref="A44:C44"/>
    <mergeCell ref="A45:C45"/>
    <mergeCell ref="A46:C46"/>
    <mergeCell ref="A47:C47"/>
    <mergeCell ref="A53:C53"/>
    <mergeCell ref="A54:C54"/>
    <mergeCell ref="A55:C55"/>
    <mergeCell ref="A56:C56"/>
    <mergeCell ref="A59:C61"/>
    <mergeCell ref="K50:K56"/>
    <mergeCell ref="E51:E52"/>
    <mergeCell ref="F51:F52"/>
    <mergeCell ref="I51:I52"/>
    <mergeCell ref="J51:J52"/>
    <mergeCell ref="A50:C52"/>
    <mergeCell ref="D50:D52"/>
    <mergeCell ref="E50:F50"/>
    <mergeCell ref="G50:H50"/>
    <mergeCell ref="I50:J50"/>
    <mergeCell ref="A62:C62"/>
    <mergeCell ref="A63:C63"/>
    <mergeCell ref="A64:C64"/>
    <mergeCell ref="A65:C65"/>
    <mergeCell ref="D59:D61"/>
    <mergeCell ref="E59:F59"/>
    <mergeCell ref="G59:H59"/>
    <mergeCell ref="I59:J59"/>
    <mergeCell ref="K59:K65"/>
    <mergeCell ref="E60:E61"/>
    <mergeCell ref="F60:F61"/>
    <mergeCell ref="I60:I61"/>
    <mergeCell ref="J60:J61"/>
    <mergeCell ref="A103:C103"/>
    <mergeCell ref="A83:C83"/>
    <mergeCell ref="A72:D72"/>
    <mergeCell ref="A91:H91"/>
    <mergeCell ref="A92:C92"/>
    <mergeCell ref="A93:C93"/>
    <mergeCell ref="A84:C84"/>
    <mergeCell ref="A85:C85"/>
    <mergeCell ref="A86:C86"/>
    <mergeCell ref="A87:C87"/>
    <mergeCell ref="A88:C88"/>
    <mergeCell ref="A79:C79"/>
    <mergeCell ref="A80:C80"/>
    <mergeCell ref="A76:C76"/>
    <mergeCell ref="A74:H74"/>
    <mergeCell ref="A82:H82"/>
    <mergeCell ref="A75:C75"/>
    <mergeCell ref="A77:C77"/>
    <mergeCell ref="A78:C78"/>
    <mergeCell ref="A122:C122"/>
    <mergeCell ref="A68:C68"/>
    <mergeCell ref="A69:C69"/>
    <mergeCell ref="A70:C70"/>
    <mergeCell ref="A67:C67"/>
    <mergeCell ref="A117:C117"/>
    <mergeCell ref="A118:C118"/>
    <mergeCell ref="A119:C119"/>
    <mergeCell ref="A120:C120"/>
    <mergeCell ref="A121:C121"/>
    <mergeCell ref="A111:C111"/>
    <mergeCell ref="A112:C112"/>
    <mergeCell ref="A113:C113"/>
    <mergeCell ref="A114:C114"/>
    <mergeCell ref="A116:H116"/>
    <mergeCell ref="A104:C104"/>
    <mergeCell ref="A105:C105"/>
    <mergeCell ref="A108:H108"/>
    <mergeCell ref="A109:C109"/>
    <mergeCell ref="A110:C110"/>
    <mergeCell ref="A99:H99"/>
    <mergeCell ref="A100:C100"/>
    <mergeCell ref="A101:C101"/>
    <mergeCell ref="A102:C102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>
    <oddHeader>&amp;L&amp;G&amp;C&amp;"Arial CE,Tučné"&amp;14Herálec - vytápění objektu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B2:F6"/>
  <sheetViews>
    <sheetView zoomScale="80" zoomScaleNormal="80" workbookViewId="0">
      <selection activeCell="H11" sqref="H11"/>
    </sheetView>
  </sheetViews>
  <sheetFormatPr defaultRowHeight="12.75"/>
  <sheetData>
    <row r="2" spans="2:6">
      <c r="B2" s="364" t="s">
        <v>319</v>
      </c>
      <c r="C2" s="365"/>
      <c r="D2" s="365"/>
      <c r="E2" t="s">
        <v>328</v>
      </c>
      <c r="F2" t="s">
        <v>321</v>
      </c>
    </row>
    <row r="3" spans="2:6">
      <c r="B3" s="366" t="s">
        <v>314</v>
      </c>
      <c r="C3" s="242"/>
      <c r="D3" s="242"/>
      <c r="E3" s="223">
        <v>3.4328214526382594</v>
      </c>
      <c r="F3" s="223">
        <v>3.6596386793105835</v>
      </c>
    </row>
    <row r="4" spans="2:6">
      <c r="B4" s="366" t="s">
        <v>315</v>
      </c>
      <c r="C4" s="242"/>
      <c r="D4" s="242"/>
      <c r="E4" s="223">
        <v>4.4313088946708623</v>
      </c>
      <c r="F4" s="223">
        <v>4.6377055381260703</v>
      </c>
    </row>
    <row r="5" spans="2:6">
      <c r="B5" s="366" t="s">
        <v>316</v>
      </c>
      <c r="C5" s="242"/>
      <c r="D5" s="242"/>
      <c r="E5" s="223">
        <v>4.1978389000243945</v>
      </c>
      <c r="F5" s="223">
        <v>4.417642984365723</v>
      </c>
    </row>
    <row r="6" spans="2:6">
      <c r="B6" s="362" t="s">
        <v>318</v>
      </c>
      <c r="C6" s="363"/>
      <c r="D6" s="363"/>
      <c r="E6" s="223">
        <v>8.2474648082477078</v>
      </c>
      <c r="F6" s="223">
        <v>8.6946101234095874</v>
      </c>
    </row>
  </sheetData>
  <mergeCells count="5">
    <mergeCell ref="B2:D2"/>
    <mergeCell ref="B3:D3"/>
    <mergeCell ref="B4:D4"/>
    <mergeCell ref="B5:D5"/>
    <mergeCell ref="B6:D6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Tep_ztraty_Nocležna_III</vt:lpstr>
      <vt:lpstr>cenova_rozvaha</vt:lpstr>
      <vt:lpstr>grafy</vt:lpstr>
    </vt:vector>
  </TitlesOfParts>
  <Company>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Havoc</dc:creator>
  <cp:lastModifiedBy>Pavel Viktora</cp:lastModifiedBy>
  <cp:lastPrinted>2012-01-24T08:38:31Z</cp:lastPrinted>
  <dcterms:created xsi:type="dcterms:W3CDTF">2002-03-04T20:45:10Z</dcterms:created>
  <dcterms:modified xsi:type="dcterms:W3CDTF">2012-01-24T10:28:41Z</dcterms:modified>
</cp:coreProperties>
</file>